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https://serviceauthority-my.sharepoint.com/personal/ekovalchuk_pwcsa_org/Documents/Documents/PDF Mis/"/>
    </mc:Choice>
  </mc:AlternateContent>
  <xr:revisionPtr revIDLastSave="4" documentId="8_{3A7CCE3B-1C73-4E8B-BB47-618A4EDD1E11}" xr6:coauthVersionLast="47" xr6:coauthVersionMax="47" xr10:uidLastSave="{DDE3E063-A40F-4767-9FC1-FD9BE0103523}"/>
  <bookViews>
    <workbookView xWindow="28680" yWindow="-120" windowWidth="29040" windowHeight="15720" xr2:uid="{00000000-000D-0000-FFFF-FFFF00000000}"/>
  </bookViews>
  <sheets>
    <sheet name="PWCSA Information Sheet 1" sheetId="13" r:id="rId1"/>
    <sheet name="PWCSA Information Sheet 2" sheetId="14" r:id="rId2"/>
    <sheet name="Meter Schedule List" sheetId="7" state="hidden" r:id="rId3"/>
    <sheet name="Excel List 1" sheetId="2" state="hidden" r:id="rId4"/>
    <sheet name="Excel List 2" sheetId="5" state="hidden" r:id="rId5"/>
    <sheet name="AWWA Curves" sheetId="10" state="hidden" r:id="rId6"/>
    <sheet name="AWWA Meter Selection" sheetId="11" state="hidden" r:id="rId7"/>
  </sheets>
  <externalReferences>
    <externalReference r:id="rId8"/>
  </externalReferences>
  <definedNames>
    <definedName name="AccountTypes">'Meter Schedule List'!$AD$37:$AD$39</definedName>
    <definedName name="ASSET_TYPE">'Excel List 2'!$A$2:$A$5</definedName>
    <definedName name="AssetType" localSheetId="1">#REF!</definedName>
    <definedName name="AssetType">#REF!</definedName>
    <definedName name="Coarse_Grained_Soils">'Excel List 2'!$A$87:$A$94</definedName>
    <definedName name="DataCenterAccountTypes">'Meter Schedule List'!$AF$37:$AF$40</definedName>
    <definedName name="Fine_Grained_Soils">'Excel List 2'!$A$97:$A$100</definedName>
    <definedName name="FORCE_MAIN">'Excel List 2'!$A$4:$A$5</definedName>
    <definedName name="GRAVITY_SANITARY_SEWER_MAIN_MATERIALS">'Excel List 2'!$A$29:$A$32</definedName>
    <definedName name="GRAVITY_SANITARY_SEWER_MAIN_SIZES">'Excel List 2'!$A$21:$A$26</definedName>
    <definedName name="GravitySanitarySewerMain" localSheetId="1">#REF!</definedName>
    <definedName name="GravitySanitarySewerMain">#REF!</definedName>
    <definedName name="GravitySanitarySewerMainSizes" localSheetId="1">#REF!</definedName>
    <definedName name="GravitySanitarySewerMainSizes">#REF!</definedName>
    <definedName name="LOW_PRESSURE_FORCE_MAIN_MATERIALS">'Excel List 2'!$A$45:$A$46</definedName>
    <definedName name="LOW_PRESSURE_FORCE_MAIN_SIZES">'Excel List 2'!$A$35:$A$41</definedName>
    <definedName name="PIPE_RESTRAINT_MATERIALS">'Excel List 2'!$A$61:$A$62</definedName>
    <definedName name="PUMP_STATION_FM_MAT">'Excel List 2'!$A$57</definedName>
    <definedName name="PUMP_STATION_FM_MATERIALS">'Excel List 2'!$A$57</definedName>
    <definedName name="PUMP_STATION_FORCE_MAIN_MAT">'Excel List 2'!$A$57</definedName>
    <definedName name="PUMP_STATION_FORCE_MAIN_MATERIALS">'Excel List 2'!$A$57</definedName>
    <definedName name="PUMP_STATION_FORCE_MAIN_SIZES">'Excel List 2'!$A$49:$A$54</definedName>
    <definedName name="RESIDENTIAL_METERS">'Excel List 2'!$A$104:$A$105</definedName>
    <definedName name="SAFETY_FACTOR">'Excel List 2'!$A$65:$A$68</definedName>
    <definedName name="SOIL_TYPE">'Excel List 2'!$A$82:$A$84</definedName>
    <definedName name="TEST_PRESSURE">'Excel List 2'!$A$76:$A$77</definedName>
    <definedName name="TRENCH_TYPE">'Excel List 2'!$A$71:$A$73</definedName>
    <definedName name="WATER_MAIN_MATERIALS">'Excel List 2'!$A$17:$A$18</definedName>
    <definedName name="WATER_MAIN_SIZES">'Excel List 2'!$A$8:$A$13</definedName>
    <definedName name="WATER_QTY" localSheetId="1">'PWCSA Information Sheet 2'!$G$49</definedName>
    <definedName name="WATER_QTY">'PWCSA Information Sheet 1'!$H$56</definedName>
    <definedName name="WaterMain" localSheetId="1">#REF!</definedName>
    <definedName name="WaterMain">#REF!</definedName>
    <definedName name="WaterMainSizes" localSheetId="1">#REF!</definedName>
    <definedName name="WaterMainSiz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9" i="13" l="1"/>
  <c r="AV57" i="7"/>
  <c r="AC96" i="13" l="1"/>
  <c r="AC97" i="13"/>
  <c r="AB97" i="13" s="1"/>
  <c r="AC98" i="13"/>
  <c r="AB98" i="13" s="1"/>
  <c r="AC99" i="13"/>
  <c r="AB99" i="13" s="1"/>
  <c r="AC101" i="13"/>
  <c r="AB101" i="13" s="1"/>
  <c r="AC100" i="13"/>
  <c r="AB100" i="13" s="1"/>
  <c r="AC57" i="13"/>
  <c r="AB57" i="13" s="1"/>
  <c r="AC58" i="13"/>
  <c r="AB58" i="13" s="1"/>
  <c r="AC59" i="13"/>
  <c r="AC60" i="13"/>
  <c r="AB60" i="13" s="1"/>
  <c r="AC62" i="13"/>
  <c r="AB62" i="13" s="1"/>
  <c r="AC63" i="13"/>
  <c r="AB63" i="13" s="1"/>
  <c r="AC64" i="13"/>
  <c r="AB64" i="13" s="1"/>
  <c r="AC65" i="13"/>
  <c r="AB65" i="13" s="1"/>
  <c r="AC61" i="13"/>
  <c r="AC76" i="13"/>
  <c r="AB76" i="13" s="1"/>
  <c r="AC77" i="13"/>
  <c r="AB77" i="13" s="1"/>
  <c r="AC78" i="13"/>
  <c r="AC79" i="13"/>
  <c r="AB79" i="13" s="1"/>
  <c r="AC80" i="13"/>
  <c r="AB80" i="13" s="1"/>
  <c r="AC82" i="13"/>
  <c r="AB82" i="13" s="1"/>
  <c r="AC83" i="13"/>
  <c r="AB83" i="13" s="1"/>
  <c r="AC84" i="13"/>
  <c r="AB84" i="13" s="1"/>
  <c r="AC81" i="13"/>
  <c r="AB81" i="13" s="1"/>
  <c r="BC57" i="7"/>
  <c r="BC56" i="7"/>
  <c r="BC55" i="7"/>
  <c r="BC54" i="7"/>
  <c r="AV56" i="7"/>
  <c r="AV55" i="7"/>
  <c r="AV54" i="7"/>
  <c r="AO57" i="7"/>
  <c r="AO56" i="7"/>
  <c r="AO55" i="7"/>
  <c r="AO54" i="7"/>
  <c r="AF62" i="7"/>
  <c r="AG62" i="7" s="1"/>
  <c r="AF61" i="7"/>
  <c r="AG61" i="7" s="1"/>
  <c r="AF60" i="7"/>
  <c r="AG60" i="7" s="1"/>
  <c r="AD78" i="13" l="1"/>
  <c r="AB78" i="13"/>
  <c r="AF78" i="13" s="1"/>
  <c r="AD61" i="13"/>
  <c r="AB61" i="13"/>
  <c r="AF61" i="13" s="1"/>
  <c r="AD59" i="13"/>
  <c r="AB59" i="13"/>
  <c r="AH59" i="13" s="1"/>
  <c r="AF101" i="13"/>
  <c r="AL101" i="13"/>
  <c r="AH100" i="13"/>
  <c r="AN100" i="13"/>
  <c r="AH99" i="13"/>
  <c r="AL99" i="13"/>
  <c r="AI98" i="13"/>
  <c r="AI97" i="13"/>
  <c r="AD101" i="13"/>
  <c r="AD100" i="13"/>
  <c r="AD99" i="13"/>
  <c r="AD98" i="13"/>
  <c r="AD97" i="13"/>
  <c r="AD96" i="13"/>
  <c r="AJ79" i="13"/>
  <c r="AJ80" i="13"/>
  <c r="AF81" i="13"/>
  <c r="AF82" i="13"/>
  <c r="AH83" i="13"/>
  <c r="AF84" i="13"/>
  <c r="AD84" i="13"/>
  <c r="AD83" i="13"/>
  <c r="AD82" i="13"/>
  <c r="AD81" i="13"/>
  <c r="AD80" i="13"/>
  <c r="AD79" i="13"/>
  <c r="AD77" i="13"/>
  <c r="AH76" i="13"/>
  <c r="AJ76" i="13"/>
  <c r="AD76" i="13"/>
  <c r="AJ96" i="13"/>
  <c r="AL96" i="13"/>
  <c r="AN96" i="13"/>
  <c r="AF76" i="13"/>
  <c r="AF77" i="13"/>
  <c r="AH77" i="13"/>
  <c r="AJ58" i="13"/>
  <c r="AF80" i="13"/>
  <c r="AH82" i="13"/>
  <c r="AJ82" i="13"/>
  <c r="AJ83" i="13"/>
  <c r="AF83" i="13"/>
  <c r="AJ84" i="13"/>
  <c r="AH84" i="13"/>
  <c r="AH79" i="13"/>
  <c r="AF79" i="13"/>
  <c r="AH80" i="13"/>
  <c r="AJ81" i="13"/>
  <c r="AH81" i="13"/>
  <c r="AJ65" i="13"/>
  <c r="AD65" i="13"/>
  <c r="AJ64" i="13"/>
  <c r="AD64" i="13"/>
  <c r="AJ63" i="13"/>
  <c r="AD63" i="13"/>
  <c r="AD62" i="13"/>
  <c r="AH62" i="13"/>
  <c r="AF60" i="13"/>
  <c r="AD60" i="13"/>
  <c r="AD58" i="13"/>
  <c r="AD57" i="13"/>
  <c r="AJ57" i="13"/>
  <c r="AH57" i="13"/>
  <c r="AF57" i="13"/>
  <c r="AL98" i="13"/>
  <c r="AN97" i="13"/>
  <c r="AH97" i="13"/>
  <c r="AI101" i="13"/>
  <c r="AH101" i="13"/>
  <c r="AI100" i="13"/>
  <c r="AF100" i="13"/>
  <c r="AI99" i="13"/>
  <c r="AF99" i="13"/>
  <c r="AF98" i="13"/>
  <c r="AH98" i="13"/>
  <c r="AF97" i="13"/>
  <c r="AI96" i="13"/>
  <c r="AH96" i="13"/>
  <c r="AF96" i="13"/>
  <c r="AF68" i="7"/>
  <c r="AG68" i="7" s="1"/>
  <c r="AB70" i="7"/>
  <c r="AD70" i="7"/>
  <c r="AB71" i="7"/>
  <c r="AD71" i="7"/>
  <c r="AE71" i="7" s="1"/>
  <c r="AF71" i="7" s="1"/>
  <c r="AG71" i="7" s="1"/>
  <c r="AB72" i="7"/>
  <c r="AD72" i="7"/>
  <c r="AE72" i="7" s="1"/>
  <c r="AF72" i="7" s="1"/>
  <c r="AG72" i="7" s="1"/>
  <c r="AN101" i="13" l="1"/>
  <c r="AJ101" i="13"/>
  <c r="AJ100" i="13"/>
  <c r="AL100" i="13"/>
  <c r="AJ78" i="13"/>
  <c r="AH78" i="13"/>
  <c r="AJ77" i="13"/>
  <c r="AJ59" i="13"/>
  <c r="AF59" i="13"/>
  <c r="AJ99" i="13"/>
  <c r="AN98" i="13"/>
  <c r="AN99" i="13"/>
  <c r="AJ98" i="13"/>
  <c r="AJ97" i="13"/>
  <c r="AL97" i="13"/>
  <c r="AF58" i="13"/>
  <c r="AH58" i="13"/>
  <c r="AH65" i="13"/>
  <c r="AF65" i="13"/>
  <c r="AF64" i="13"/>
  <c r="AH64" i="13"/>
  <c r="AJ61" i="13"/>
  <c r="AH63" i="13"/>
  <c r="AJ62" i="13"/>
  <c r="AF62" i="13"/>
  <c r="AH60" i="13"/>
  <c r="AJ60" i="13"/>
  <c r="AF63" i="13"/>
  <c r="AH61" i="13"/>
  <c r="AE70" i="7"/>
  <c r="AF70" i="7" s="1"/>
  <c r="AG70" i="7" s="1"/>
  <c r="AF54" i="7"/>
  <c r="AD74" i="7"/>
  <c r="AE74" i="7" s="1"/>
  <c r="AF74" i="7" s="1"/>
  <c r="AG74" i="7" s="1"/>
  <c r="AD75" i="7"/>
  <c r="AE75" i="7" s="1"/>
  <c r="AF75" i="7" s="1"/>
  <c r="AG75" i="7" s="1"/>
  <c r="AD76" i="7"/>
  <c r="AE76" i="7" s="1"/>
  <c r="AF76" i="7" s="1"/>
  <c r="AG76" i="7" s="1"/>
  <c r="AD77" i="7"/>
  <c r="AE77" i="7" s="1"/>
  <c r="AF77" i="7" s="1"/>
  <c r="AG77" i="7" s="1"/>
  <c r="AD78" i="7"/>
  <c r="AE78" i="7" s="1"/>
  <c r="AF78" i="7" s="1"/>
  <c r="AG78" i="7" s="1"/>
  <c r="AD73" i="7"/>
  <c r="AE73" i="7" s="1"/>
  <c r="AF73" i="7" s="1"/>
  <c r="AG73" i="7" s="1"/>
  <c r="AB74" i="7"/>
  <c r="AB75" i="7"/>
  <c r="AB76" i="7"/>
  <c r="AB77" i="7"/>
  <c r="AB78" i="7"/>
  <c r="AB73" i="7"/>
  <c r="T45" i="13" l="1"/>
  <c r="W45" i="13" s="1"/>
  <c r="U46" i="13"/>
  <c r="U45" i="13"/>
  <c r="T46" i="13"/>
  <c r="W46" i="13" s="1"/>
  <c r="A6" i="2" l="1"/>
  <c r="F6" i="2"/>
  <c r="E6" i="2"/>
  <c r="L10" i="13" l="1"/>
  <c r="X13" i="13" s="1"/>
  <c r="L11" i="13"/>
  <c r="X17" i="13" s="1"/>
  <c r="AJ66" i="13" l="1"/>
  <c r="AJ13" i="13"/>
  <c r="AJ14" i="13"/>
  <c r="AJ15" i="13"/>
  <c r="AJ16" i="13"/>
  <c r="AJ17" i="13"/>
  <c r="AJ18" i="13"/>
  <c r="AJ19" i="13"/>
  <c r="AJ20" i="13"/>
  <c r="AJ21" i="13"/>
  <c r="AJ22" i="13"/>
  <c r="AJ23" i="13"/>
  <c r="AJ24" i="13"/>
  <c r="AJ27" i="13"/>
  <c r="AJ28" i="13"/>
  <c r="AJ29" i="13"/>
  <c r="AJ32" i="13"/>
  <c r="AJ33" i="13"/>
  <c r="AJ34" i="13"/>
  <c r="AJ39" i="13"/>
  <c r="AJ37" i="13" l="1"/>
  <c r="K38" i="13"/>
  <c r="D38" i="13"/>
  <c r="H62" i="13"/>
  <c r="D29" i="13"/>
  <c r="H56" i="13" s="1"/>
  <c r="L64" i="13" s="1"/>
  <c r="X15" i="13"/>
  <c r="AJ38" i="13" l="1"/>
  <c r="AJ40" i="13" s="1"/>
  <c r="AJ43" i="13" s="1"/>
  <c r="AJ45" i="13" s="1"/>
  <c r="X19" i="13"/>
  <c r="S46" i="13"/>
  <c r="V46" i="13" s="1"/>
  <c r="S45" i="13"/>
  <c r="V45" i="13" s="1"/>
  <c r="R46" i="13"/>
  <c r="R45" i="13"/>
  <c r="H59" i="13"/>
  <c r="L66" i="13" s="1"/>
  <c r="H57" i="13"/>
  <c r="H60" i="13"/>
  <c r="K21" i="11" l="1"/>
  <c r="L21" i="11" s="1"/>
  <c r="K22" i="11"/>
  <c r="L22" i="11"/>
  <c r="K23" i="11"/>
  <c r="L23" i="11" s="1"/>
  <c r="K24" i="11"/>
  <c r="L24" i="11" s="1"/>
  <c r="K25" i="11"/>
  <c r="L25" i="11" s="1"/>
  <c r="B53" i="10"/>
  <c r="I53" i="10"/>
  <c r="T126" i="10"/>
  <c r="U126" i="10" s="1"/>
  <c r="T127" i="10"/>
  <c r="U127" i="10" s="1"/>
  <c r="T128" i="10"/>
  <c r="U128" i="10" s="1"/>
  <c r="T129" i="10"/>
  <c r="U129" i="10" s="1"/>
  <c r="T130" i="10"/>
  <c r="U130" i="10" s="1"/>
  <c r="L140" i="10"/>
  <c r="L141" i="10" s="1"/>
  <c r="W135" i="10" l="1"/>
  <c r="L143" i="10"/>
  <c r="V135" i="10" l="1"/>
  <c r="L145" i="10" s="1"/>
  <c r="U135" i="10"/>
  <c r="T135" i="10"/>
  <c r="S135" i="10"/>
  <c r="R135" i="10"/>
  <c r="Q135" i="10"/>
  <c r="P135" i="10"/>
  <c r="O135" i="10"/>
  <c r="N135" i="10"/>
  <c r="M135" i="10"/>
  <c r="L135" i="10"/>
  <c r="Y135" i="10"/>
  <c r="L150" i="10" s="1"/>
  <c r="X135" i="10"/>
  <c r="L149" i="10" s="1"/>
  <c r="L146" i="10" l="1"/>
  <c r="L147" i="10"/>
  <c r="H55" i="10" l="1"/>
  <c r="AG54" i="7" l="1"/>
  <c r="AF55" i="7"/>
  <c r="AG55" i="7" s="1"/>
  <c r="AF56" i="7"/>
  <c r="AG56" i="7" s="1"/>
  <c r="AF57" i="7"/>
  <c r="AG57" i="7" s="1"/>
  <c r="AF58" i="7"/>
  <c r="AG58" i="7" s="1"/>
  <c r="AF59" i="7"/>
  <c r="AG59" i="7" s="1"/>
  <c r="AF63" i="7"/>
  <c r="AG63" i="7" s="1"/>
  <c r="AF64" i="7"/>
  <c r="AG64" i="7" s="1"/>
  <c r="AF65" i="7"/>
  <c r="AG65" i="7" s="1"/>
  <c r="AF66" i="7"/>
  <c r="AG66" i="7" s="1"/>
  <c r="AF67" i="7"/>
  <c r="AG6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Edward Kovalchuk</author>
    <author>tc={6CF760FE-AA59-459E-9B7C-4E2521ED33A0}</author>
  </authors>
  <commentList>
    <comment ref="AA1" authorId="0" shapeId="0" xr:uid="{00000000-0006-0000-0000-000001000000}">
      <text>
        <r>
          <rPr>
            <b/>
            <sz val="9"/>
            <color indexed="81"/>
            <rFont val="Tahoma"/>
            <family val="2"/>
          </rPr>
          <t>If multiple AWWA fixture lists are needed, separate lists shall be provided in a separate plan sheet.</t>
        </r>
      </text>
    </comment>
    <comment ref="B2" authorId="0" shapeId="0" xr:uid="{00000000-0006-0000-0000-000002000000}">
      <text>
        <r>
          <rPr>
            <b/>
            <sz val="9"/>
            <color indexed="81"/>
            <rFont val="Tahoma"/>
            <family val="2"/>
          </rPr>
          <t>Information needed to report to VDH for Local Review reporting.</t>
        </r>
      </text>
    </comment>
    <comment ref="H2" authorId="0" shapeId="0" xr:uid="{00000000-0006-0000-0000-000003000000}">
      <text>
        <r>
          <rPr>
            <b/>
            <sz val="9"/>
            <color indexed="81"/>
            <rFont val="Tahoma"/>
            <family val="2"/>
          </rPr>
          <t>Manual input required.</t>
        </r>
      </text>
    </comment>
    <comment ref="X2" authorId="0" shapeId="0" xr:uid="{00000000-0006-0000-0000-000004000000}">
      <text>
        <r>
          <rPr>
            <b/>
            <sz val="9"/>
            <color indexed="81"/>
            <rFont val="Tahoma"/>
            <family val="2"/>
          </rPr>
          <t>Manual input required. Mark N/A if a water system is not proposed.</t>
        </r>
      </text>
    </comment>
    <comment ref="B3" authorId="0" shapeId="0" xr:uid="{00000000-0006-0000-0000-000005000000}">
      <text>
        <r>
          <rPr>
            <b/>
            <sz val="9"/>
            <color indexed="81"/>
            <rFont val="Tahoma"/>
            <family val="2"/>
          </rPr>
          <t>Information needed to report to VDH for Local Review reporting.</t>
        </r>
      </text>
    </comment>
    <comment ref="H3" authorId="0" shapeId="0" xr:uid="{00000000-0006-0000-0000-000006000000}">
      <text>
        <r>
          <rPr>
            <b/>
            <sz val="9"/>
            <color indexed="81"/>
            <rFont val="Tahoma"/>
            <family val="2"/>
          </rPr>
          <t>Manual input required.</t>
        </r>
      </text>
    </comment>
    <comment ref="X3" authorId="0" shapeId="0" xr:uid="{00000000-0006-0000-0000-000007000000}">
      <text>
        <r>
          <rPr>
            <b/>
            <sz val="9"/>
            <color indexed="81"/>
            <rFont val="Tahoma"/>
            <family val="2"/>
          </rPr>
          <t>Manual input required. Mark N/A if a water system is not proposed.</t>
        </r>
      </text>
    </comment>
    <comment ref="B4" authorId="0" shapeId="0" xr:uid="{00000000-0006-0000-0000-000008000000}">
      <text>
        <r>
          <rPr>
            <b/>
            <sz val="9"/>
            <color indexed="81"/>
            <rFont val="Tahoma"/>
            <family val="2"/>
          </rPr>
          <t>Information needed to report to VDH for Local Review reporting.</t>
        </r>
      </text>
    </comment>
    <comment ref="H4" authorId="0" shapeId="0" xr:uid="{00000000-0006-0000-0000-000009000000}">
      <text>
        <r>
          <rPr>
            <b/>
            <sz val="9"/>
            <color indexed="81"/>
            <rFont val="Tahoma"/>
            <family val="2"/>
          </rPr>
          <t>Manual input required.</t>
        </r>
      </text>
    </comment>
    <comment ref="AJ4" authorId="0" shapeId="0" xr:uid="{00000000-0006-0000-0000-00000A000000}">
      <text>
        <r>
          <rPr>
            <b/>
            <sz val="9"/>
            <color indexed="81"/>
            <rFont val="Tahoma"/>
            <family val="2"/>
          </rPr>
          <t>Building identifier must match the building identifier in referenced in the plan sheets and in the meter schedule.</t>
        </r>
      </text>
    </comment>
    <comment ref="H5" authorId="0" shapeId="0" xr:uid="{00000000-0006-0000-0000-00000B000000}">
      <text>
        <r>
          <rPr>
            <b/>
            <sz val="9"/>
            <color indexed="81"/>
            <rFont val="Tahoma"/>
            <family val="2"/>
          </rPr>
          <t>Manual input required. Report location by north, south, west, or east orientation from the nearest street intersection.</t>
        </r>
      </text>
    </comment>
    <comment ref="O5" authorId="1" shapeId="0" xr:uid="{6CF760FE-AA59-459E-9B7C-4E2521ED33A0}">
      <text>
        <t>[Threaded comment]
Your version of Excel allows you to read this threaded comment; however, any edits to it will get removed if the file is opened in a newer version of Excel. Learn more: https://go.microsoft.com/fwlink/?linkid=870924
Comment:
    If the reported information references a previously approved hydrlauic report, reference the title of the report here and its associted date of acceptance.</t>
      </text>
    </comment>
    <comment ref="B6" authorId="0" shapeId="0" xr:uid="{00000000-0006-0000-0000-00000C000000}">
      <text>
        <r>
          <rPr>
            <b/>
            <sz val="9"/>
            <color indexed="81"/>
            <rFont val="Tahoma"/>
            <family val="2"/>
          </rPr>
          <t>Information needed to report to VDH for Local Review reporting.</t>
        </r>
      </text>
    </comment>
    <comment ref="AK6" authorId="0" shapeId="0" xr:uid="{00000000-0006-0000-0000-00000D000000}">
      <text>
        <r>
          <rPr>
            <b/>
            <sz val="9"/>
            <color indexed="81"/>
            <rFont val="Tahoma"/>
            <family val="2"/>
          </rPr>
          <t>Selectable field.</t>
        </r>
      </text>
    </comment>
    <comment ref="X7" authorId="0" shapeId="0" xr:uid="{00000000-0006-0000-0000-00000E000000}">
      <text>
        <r>
          <rPr>
            <b/>
            <sz val="9"/>
            <color indexed="81"/>
            <rFont val="Tahoma"/>
            <family val="2"/>
          </rPr>
          <t>Manual input required. Mark N/A if fire flow is not a requirement of the project (e.g. Sanitary Sewer Outfall Plan).</t>
        </r>
      </text>
    </comment>
    <comment ref="X8" authorId="0" shapeId="0" xr:uid="{00000000-0006-0000-0000-00000F000000}">
      <text>
        <r>
          <rPr>
            <b/>
            <sz val="9"/>
            <color indexed="81"/>
            <rFont val="Tahoma"/>
            <family val="2"/>
          </rPr>
          <t>Manual input required. Mark N/A if fire flow is not a requirement of the project (e.g. Sanitary Sewer Outfall Plan).</t>
        </r>
      </text>
    </comment>
    <comment ref="AJ8" authorId="0" shapeId="0" xr:uid="{00000000-0006-0000-0000-000010000000}">
      <text>
        <r>
          <rPr>
            <b/>
            <sz val="9"/>
            <color indexed="81"/>
            <rFont val="Tahoma"/>
            <family val="2"/>
          </rPr>
          <t>Selectable field.</t>
        </r>
      </text>
    </comment>
    <comment ref="B9" authorId="0" shapeId="0" xr:uid="{00000000-0006-0000-0000-000011000000}">
      <text>
        <r>
          <rPr>
            <b/>
            <sz val="9"/>
            <color indexed="81"/>
            <rFont val="Tahoma"/>
            <family val="2"/>
          </rPr>
          <t>Information needed to report to VDH for Local Review reporting.</t>
        </r>
      </text>
    </comment>
    <comment ref="L9" authorId="0" shapeId="0" xr:uid="{00000000-0006-0000-0000-000012000000}">
      <text>
        <r>
          <rPr>
            <b/>
            <sz val="9"/>
            <color indexed="81"/>
            <rFont val="Tahoma"/>
            <family val="2"/>
          </rPr>
          <t>Selectable Pressure Zone.  See PWCSA pressure zone maps.</t>
        </r>
      </text>
    </comment>
    <comment ref="L10" authorId="0" shapeId="0" xr:uid="{00000000-0006-0000-0000-000013000000}">
      <text>
        <r>
          <rPr>
            <b/>
            <sz val="9"/>
            <color indexed="81"/>
            <rFont val="Tahoma"/>
            <family val="2"/>
          </rPr>
          <t>Automatically populated.  Data entry is restricted.</t>
        </r>
      </text>
    </comment>
    <comment ref="L11" authorId="0" shapeId="0" xr:uid="{00000000-0006-0000-0000-000014000000}">
      <text>
        <r>
          <rPr>
            <b/>
            <sz val="9"/>
            <color indexed="81"/>
            <rFont val="Tahoma"/>
            <family val="2"/>
          </rPr>
          <t>Automatically populated.  Data entry is restricted.</t>
        </r>
      </text>
    </comment>
    <comment ref="AH11" authorId="0" shapeId="0" xr:uid="{00000000-0006-0000-0000-000015000000}">
      <text>
        <r>
          <rPr>
            <b/>
            <sz val="9"/>
            <color indexed="81"/>
            <rFont val="Tahoma"/>
            <family val="2"/>
          </rPr>
          <t>Direct input required.</t>
        </r>
      </text>
    </comment>
    <comment ref="AJ11" authorId="0" shapeId="0" xr:uid="{00000000-0006-0000-0000-000016000000}">
      <text>
        <r>
          <rPr>
            <b/>
            <sz val="9"/>
            <color indexed="81"/>
            <rFont val="Tahoma"/>
            <family val="2"/>
          </rPr>
          <t>These are self calculating fields.  No manual input is required.</t>
        </r>
      </text>
    </comment>
    <comment ref="B13" authorId="0" shapeId="0" xr:uid="{00000000-0006-0000-0000-000017000000}">
      <text>
        <r>
          <rPr>
            <b/>
            <sz val="9"/>
            <color indexed="81"/>
            <rFont val="Tahoma"/>
            <family val="2"/>
          </rPr>
          <t>Information is collected for general information.</t>
        </r>
      </text>
    </comment>
    <comment ref="L13" authorId="0" shapeId="0" xr:uid="{00000000-0006-0000-0000-000018000000}">
      <text>
        <r>
          <rPr>
            <b/>
            <sz val="9"/>
            <color indexed="81"/>
            <rFont val="Tahoma"/>
            <family val="2"/>
          </rPr>
          <t>Selectable Sewer Shed.  See PWCSA sewer shed maps.</t>
        </r>
      </text>
    </comment>
    <comment ref="X13" authorId="0" shapeId="0" xr:uid="{00000000-0006-0000-0000-000019000000}">
      <text>
        <r>
          <rPr>
            <b/>
            <sz val="9"/>
            <color indexed="81"/>
            <rFont val="Tahoma"/>
            <family val="2"/>
          </rPr>
          <t>Automatically populated.  Data entry is restricted.</t>
        </r>
      </text>
    </comment>
    <comment ref="X14" authorId="0" shapeId="0" xr:uid="{00000000-0006-0000-0000-00001A000000}">
      <text>
        <r>
          <rPr>
            <b/>
            <sz val="9"/>
            <color indexed="81"/>
            <rFont val="Tahoma"/>
            <family val="2"/>
          </rPr>
          <t>Manual input required. Leave blank if a building or lot is not proposed with the plans.</t>
        </r>
      </text>
    </comment>
    <comment ref="B15" authorId="0" shapeId="0" xr:uid="{00000000-0006-0000-0000-00001B000000}">
      <text>
        <r>
          <rPr>
            <b/>
            <sz val="9"/>
            <color indexed="81"/>
            <rFont val="Tahoma"/>
            <family val="2"/>
          </rPr>
          <t>Information is collected to identify an addition fee to be collected to reimburse the capital cost of infrastructure that made this area developable.</t>
        </r>
      </text>
    </comment>
    <comment ref="L15" authorId="0" shapeId="0" xr:uid="{00000000-0006-0000-0000-00001C000000}">
      <text>
        <r>
          <rPr>
            <b/>
            <sz val="9"/>
            <color indexed="81"/>
            <rFont val="Tahoma"/>
            <family val="2"/>
          </rPr>
          <t>Selectable Local Facility Charge (LFC) area.  See PWCSA LFC maps.</t>
        </r>
      </text>
    </comment>
    <comment ref="X15" authorId="0" shapeId="0" xr:uid="{00000000-0006-0000-0000-00001D000000}">
      <text>
        <r>
          <rPr>
            <b/>
            <sz val="9"/>
            <color indexed="81"/>
            <rFont val="Tahoma"/>
            <family val="2"/>
          </rPr>
          <t>This is a self calculating field.  No manual input is required.</t>
        </r>
      </text>
    </comment>
    <comment ref="B17" authorId="0" shapeId="0" xr:uid="{00000000-0006-0000-0000-00001E000000}">
      <text>
        <r>
          <rPr>
            <b/>
            <sz val="9"/>
            <color indexed="81"/>
            <rFont val="Tahoma"/>
            <family val="2"/>
          </rPr>
          <t>Used to identify that this project is or is not eligible to seek reimbursement from the Service Authority for betterment work.</t>
        </r>
      </text>
    </comment>
    <comment ref="L17" authorId="0" shapeId="0" xr:uid="{00000000-0006-0000-0000-00001F000000}">
      <text>
        <r>
          <rPr>
            <b/>
            <sz val="9"/>
            <color indexed="81"/>
            <rFont val="Tahoma"/>
            <family val="2"/>
          </rPr>
          <t>Selectable.</t>
        </r>
      </text>
    </comment>
    <comment ref="X17" authorId="0" shapeId="0" xr:uid="{00000000-0006-0000-0000-000020000000}">
      <text>
        <r>
          <rPr>
            <b/>
            <sz val="9"/>
            <color indexed="81"/>
            <rFont val="Tahoma"/>
            <family val="2"/>
          </rPr>
          <t>Automatically populated.  Data entry is restricted.</t>
        </r>
      </text>
    </comment>
    <comment ref="X18" authorId="0" shapeId="0" xr:uid="{00000000-0006-0000-0000-000021000000}">
      <text>
        <r>
          <rPr>
            <b/>
            <sz val="9"/>
            <color indexed="81"/>
            <rFont val="Tahoma"/>
            <family val="2"/>
          </rPr>
          <t>Manual input required. Leave blank if a building or lot is not proposed with the plans.</t>
        </r>
      </text>
    </comment>
    <comment ref="X19" authorId="0" shapeId="0" xr:uid="{00000000-0006-0000-0000-000022000000}">
      <text>
        <r>
          <rPr>
            <b/>
            <sz val="9"/>
            <color indexed="81"/>
            <rFont val="Tahoma"/>
            <family val="2"/>
          </rPr>
          <t>This is a self calculating field.  No manual input is required.</t>
        </r>
      </text>
    </comment>
    <comment ref="B21" authorId="0" shapeId="0" xr:uid="{00000000-0006-0000-0000-000023000000}">
      <text>
        <r>
          <rPr>
            <b/>
            <sz val="9"/>
            <color indexed="81"/>
            <rFont val="Tahoma"/>
            <family val="2"/>
          </rPr>
          <t xml:space="preserve"> Water service line to meters and hydrant leads less than 50 feet are not reported.</t>
        </r>
      </text>
    </comment>
    <comment ref="I21" authorId="0" shapeId="0" xr:uid="{00000000-0006-0000-0000-000024000000}">
      <text>
        <r>
          <rPr>
            <b/>
            <sz val="9"/>
            <color indexed="81"/>
            <rFont val="Tahoma"/>
            <family val="2"/>
          </rPr>
          <t>Gravity sanitary sewer laterals are not reported.</t>
        </r>
      </text>
    </comment>
    <comment ref="B23" authorId="0" shapeId="0" xr:uid="{00000000-0006-0000-0000-000025000000}">
      <text>
        <r>
          <rPr>
            <b/>
            <sz val="9"/>
            <color indexed="81"/>
            <rFont val="Tahoma"/>
            <family val="2"/>
          </rPr>
          <t>Selectable pipe size.</t>
        </r>
      </text>
    </comment>
    <comment ref="D23" authorId="0" shapeId="0" xr:uid="{00000000-0006-0000-0000-000026000000}">
      <text>
        <r>
          <rPr>
            <b/>
            <sz val="9"/>
            <color indexed="81"/>
            <rFont val="Tahoma"/>
            <family val="2"/>
          </rPr>
          <t xml:space="preserve">Input the proposed quantity and round up to the nearest full linear foot.  </t>
        </r>
      </text>
    </comment>
    <comment ref="E23" authorId="0" shapeId="0" xr:uid="{00000000-0006-0000-0000-000027000000}">
      <text>
        <r>
          <rPr>
            <b/>
            <sz val="9"/>
            <color indexed="81"/>
            <rFont val="Tahoma"/>
            <family val="2"/>
          </rPr>
          <t>Selectable field.  C-900 shall only be chosen if the use is approved by the USM or waiver.</t>
        </r>
      </text>
    </comment>
    <comment ref="I23" authorId="0" shapeId="0" xr:uid="{00000000-0006-0000-0000-000028000000}">
      <text>
        <r>
          <rPr>
            <b/>
            <sz val="9"/>
            <color indexed="81"/>
            <rFont val="Tahoma"/>
            <family val="2"/>
          </rPr>
          <t>Selectable pipe size.</t>
        </r>
      </text>
    </comment>
    <comment ref="K23" authorId="0" shapeId="0" xr:uid="{00000000-0006-0000-0000-000029000000}">
      <text>
        <r>
          <rPr>
            <b/>
            <sz val="9"/>
            <color indexed="81"/>
            <rFont val="Tahoma"/>
            <family val="2"/>
          </rPr>
          <t xml:space="preserve">Input the proposed quantity and round up to the nearest full linear foot.  </t>
        </r>
      </text>
    </comment>
    <comment ref="L23" authorId="0" shapeId="0" xr:uid="{00000000-0006-0000-0000-00002A000000}">
      <text>
        <r>
          <rPr>
            <b/>
            <sz val="9"/>
            <color indexed="81"/>
            <rFont val="Tahoma"/>
            <family val="2"/>
          </rPr>
          <t>Selectable field.</t>
        </r>
      </text>
    </comment>
    <comment ref="B24" authorId="0" shapeId="0" xr:uid="{00000000-0006-0000-0000-00002B000000}">
      <text>
        <r>
          <rPr>
            <b/>
            <sz val="9"/>
            <color indexed="81"/>
            <rFont val="Tahoma"/>
            <family val="2"/>
          </rPr>
          <t>Selectable pipe size.</t>
        </r>
      </text>
    </comment>
    <comment ref="D24" authorId="0" shapeId="0" xr:uid="{00000000-0006-0000-0000-00002C000000}">
      <text>
        <r>
          <rPr>
            <b/>
            <sz val="9"/>
            <color indexed="81"/>
            <rFont val="Tahoma"/>
            <family val="2"/>
          </rPr>
          <t xml:space="preserve">Input the proposed quantity and round up to the nearest full linear foot.  </t>
        </r>
      </text>
    </comment>
    <comment ref="E24" authorId="0" shapeId="0" xr:uid="{00000000-0006-0000-0000-00002D000000}">
      <text>
        <r>
          <rPr>
            <b/>
            <sz val="9"/>
            <color indexed="81"/>
            <rFont val="Tahoma"/>
            <family val="2"/>
          </rPr>
          <t>Selectable field.  C-900 shall only be chosen if the use is approved by the USM or waiver.</t>
        </r>
      </text>
    </comment>
    <comment ref="I24" authorId="0" shapeId="0" xr:uid="{00000000-0006-0000-0000-00002E000000}">
      <text>
        <r>
          <rPr>
            <b/>
            <sz val="9"/>
            <color indexed="81"/>
            <rFont val="Tahoma"/>
            <family val="2"/>
          </rPr>
          <t>Selectable pipe size.</t>
        </r>
      </text>
    </comment>
    <comment ref="K24" authorId="0" shapeId="0" xr:uid="{00000000-0006-0000-0000-00002F000000}">
      <text>
        <r>
          <rPr>
            <b/>
            <sz val="9"/>
            <color indexed="81"/>
            <rFont val="Tahoma"/>
            <family val="2"/>
          </rPr>
          <t xml:space="preserve">Input the proposed quantity and round up to the nearest full linear foot.  </t>
        </r>
      </text>
    </comment>
    <comment ref="L24" authorId="0" shapeId="0" xr:uid="{00000000-0006-0000-0000-000030000000}">
      <text>
        <r>
          <rPr>
            <b/>
            <sz val="9"/>
            <color indexed="81"/>
            <rFont val="Tahoma"/>
            <family val="2"/>
          </rPr>
          <t>Selectable field.</t>
        </r>
      </text>
    </comment>
    <comment ref="B25" authorId="0" shapeId="0" xr:uid="{00000000-0006-0000-0000-000031000000}">
      <text>
        <r>
          <rPr>
            <b/>
            <sz val="9"/>
            <color indexed="81"/>
            <rFont val="Tahoma"/>
            <family val="2"/>
          </rPr>
          <t>Selectable pipe size.</t>
        </r>
      </text>
    </comment>
    <comment ref="D25" authorId="0" shapeId="0" xr:uid="{00000000-0006-0000-0000-000032000000}">
      <text>
        <r>
          <rPr>
            <b/>
            <sz val="9"/>
            <color indexed="81"/>
            <rFont val="Tahoma"/>
            <family val="2"/>
          </rPr>
          <t xml:space="preserve">Input the proposed quantity and round up to the nearest full linear foot.  </t>
        </r>
      </text>
    </comment>
    <comment ref="E25" authorId="0" shapeId="0" xr:uid="{00000000-0006-0000-0000-000033000000}">
      <text>
        <r>
          <rPr>
            <b/>
            <sz val="9"/>
            <color indexed="81"/>
            <rFont val="Tahoma"/>
            <family val="2"/>
          </rPr>
          <t>Selectable field.  C-900 shall only be chosen if the use is approved by the USM or waiver.</t>
        </r>
      </text>
    </comment>
    <comment ref="I25" authorId="0" shapeId="0" xr:uid="{00000000-0006-0000-0000-000034000000}">
      <text>
        <r>
          <rPr>
            <b/>
            <sz val="9"/>
            <color indexed="81"/>
            <rFont val="Tahoma"/>
            <family val="2"/>
          </rPr>
          <t>Selectable pipe size.</t>
        </r>
      </text>
    </comment>
    <comment ref="K25" authorId="0" shapeId="0" xr:uid="{00000000-0006-0000-0000-000035000000}">
      <text>
        <r>
          <rPr>
            <b/>
            <sz val="9"/>
            <color indexed="81"/>
            <rFont val="Tahoma"/>
            <family val="2"/>
          </rPr>
          <t xml:space="preserve">Input the proposed quantity and round up to the nearest full linear foot.  </t>
        </r>
      </text>
    </comment>
    <comment ref="L25" authorId="0" shapeId="0" xr:uid="{00000000-0006-0000-0000-000036000000}">
      <text>
        <r>
          <rPr>
            <b/>
            <sz val="9"/>
            <color indexed="81"/>
            <rFont val="Tahoma"/>
            <family val="2"/>
          </rPr>
          <t>Selectable field.</t>
        </r>
      </text>
    </comment>
    <comment ref="B26" authorId="0" shapeId="0" xr:uid="{00000000-0006-0000-0000-000037000000}">
      <text>
        <r>
          <rPr>
            <b/>
            <sz val="9"/>
            <color indexed="81"/>
            <rFont val="Tahoma"/>
            <family val="2"/>
          </rPr>
          <t>Selectable pipe size.</t>
        </r>
      </text>
    </comment>
    <comment ref="D26" authorId="0" shapeId="0" xr:uid="{00000000-0006-0000-0000-000038000000}">
      <text>
        <r>
          <rPr>
            <b/>
            <sz val="9"/>
            <color indexed="81"/>
            <rFont val="Tahoma"/>
            <family val="2"/>
          </rPr>
          <t xml:space="preserve">Input the proposed quantity and round up to the nearest full linear foot.  </t>
        </r>
      </text>
    </comment>
    <comment ref="E26" authorId="0" shapeId="0" xr:uid="{00000000-0006-0000-0000-000039000000}">
      <text>
        <r>
          <rPr>
            <b/>
            <sz val="9"/>
            <color indexed="81"/>
            <rFont val="Tahoma"/>
            <family val="2"/>
          </rPr>
          <t>Selectable field.  C-900 shall only be chosen if the use is approved by the USM or waiver.</t>
        </r>
      </text>
    </comment>
    <comment ref="I26" authorId="0" shapeId="0" xr:uid="{00000000-0006-0000-0000-00003A000000}">
      <text>
        <r>
          <rPr>
            <b/>
            <sz val="9"/>
            <color indexed="81"/>
            <rFont val="Tahoma"/>
            <family val="2"/>
          </rPr>
          <t>Selectable pipe size.</t>
        </r>
      </text>
    </comment>
    <comment ref="K26" authorId="0" shapeId="0" xr:uid="{00000000-0006-0000-0000-00003B000000}">
      <text>
        <r>
          <rPr>
            <b/>
            <sz val="9"/>
            <color indexed="81"/>
            <rFont val="Tahoma"/>
            <family val="2"/>
          </rPr>
          <t xml:space="preserve">Input the proposed quantity and round up to the nearest full linear foot.  </t>
        </r>
      </text>
    </comment>
    <comment ref="L26" authorId="0" shapeId="0" xr:uid="{00000000-0006-0000-0000-00003C000000}">
      <text>
        <r>
          <rPr>
            <b/>
            <sz val="9"/>
            <color indexed="81"/>
            <rFont val="Tahoma"/>
            <family val="2"/>
          </rPr>
          <t>Selectable field.</t>
        </r>
      </text>
    </comment>
    <comment ref="I27" authorId="0" shapeId="0" xr:uid="{A63FD3CB-9089-43A1-B369-75BA8F103A1F}">
      <text>
        <r>
          <rPr>
            <b/>
            <sz val="9"/>
            <color indexed="81"/>
            <rFont val="Tahoma"/>
            <family val="2"/>
          </rPr>
          <t>Selectable pipe size.</t>
        </r>
      </text>
    </comment>
    <comment ref="K27" authorId="0" shapeId="0" xr:uid="{AE340920-DC22-4460-8C98-EDA5528F17CB}">
      <text>
        <r>
          <rPr>
            <b/>
            <sz val="9"/>
            <color indexed="81"/>
            <rFont val="Tahoma"/>
            <family val="2"/>
          </rPr>
          <t xml:space="preserve">Input the proposed quantity and round up to the nearest full linear foot.  </t>
        </r>
      </text>
    </comment>
    <comment ref="L27" authorId="0" shapeId="0" xr:uid="{C937E2A0-E43F-48F5-99EA-5F1690B4A1E9}">
      <text>
        <r>
          <rPr>
            <b/>
            <sz val="9"/>
            <color indexed="81"/>
            <rFont val="Tahoma"/>
            <family val="2"/>
          </rPr>
          <t>Selectable field.</t>
        </r>
      </text>
    </comment>
    <comment ref="D29" authorId="0" shapeId="0" xr:uid="{00000000-0006-0000-0000-00003D000000}">
      <text>
        <r>
          <rPr>
            <b/>
            <sz val="9"/>
            <color indexed="81"/>
            <rFont val="Tahoma"/>
            <family val="2"/>
          </rPr>
          <t>Quantities total automatically from project metrics listed below. There should be no need to manually input quantities.</t>
        </r>
      </text>
    </comment>
    <comment ref="K29" authorId="0" shapeId="0" xr:uid="{00000000-0006-0000-0000-00003E000000}">
      <text>
        <r>
          <rPr>
            <b/>
            <sz val="9"/>
            <color indexed="81"/>
            <rFont val="Tahoma"/>
            <family val="2"/>
          </rPr>
          <t>Quantities total automatically from project metrics listed below. There should be no need to manually input quantities.</t>
        </r>
      </text>
    </comment>
    <comment ref="B31" authorId="0" shapeId="0" xr:uid="{00000000-0006-0000-0000-00003F000000}">
      <text>
        <r>
          <rPr>
            <b/>
            <sz val="9"/>
            <color indexed="81"/>
            <rFont val="Tahoma"/>
            <family val="2"/>
          </rPr>
          <t>Service lines between the common force main and the property line flushing station are not reported.</t>
        </r>
      </text>
    </comment>
    <comment ref="B33" authorId="0" shapeId="0" xr:uid="{00000000-0006-0000-0000-000040000000}">
      <text>
        <r>
          <rPr>
            <b/>
            <sz val="9"/>
            <color indexed="81"/>
            <rFont val="Tahoma"/>
            <family val="2"/>
          </rPr>
          <t>Selectable pipe size.</t>
        </r>
      </text>
    </comment>
    <comment ref="D33" authorId="0" shapeId="0" xr:uid="{00000000-0006-0000-0000-000041000000}">
      <text>
        <r>
          <rPr>
            <b/>
            <sz val="9"/>
            <color indexed="81"/>
            <rFont val="Tahoma"/>
            <family val="2"/>
          </rPr>
          <t xml:space="preserve">Input the proposed quantity and round up to the nearest full linear foot.  </t>
        </r>
      </text>
    </comment>
    <comment ref="E33" authorId="0" shapeId="0" xr:uid="{00000000-0006-0000-0000-000042000000}">
      <text>
        <r>
          <rPr>
            <b/>
            <sz val="9"/>
            <color indexed="81"/>
            <rFont val="Tahoma"/>
            <family val="2"/>
          </rPr>
          <t>Selectable field.</t>
        </r>
      </text>
    </comment>
    <comment ref="I33" authorId="0" shapeId="0" xr:uid="{00000000-0006-0000-0000-000043000000}">
      <text>
        <r>
          <rPr>
            <b/>
            <sz val="9"/>
            <color indexed="81"/>
            <rFont val="Tahoma"/>
            <family val="2"/>
          </rPr>
          <t>Selectable pipe size.</t>
        </r>
      </text>
    </comment>
    <comment ref="K33" authorId="0" shapeId="0" xr:uid="{00000000-0006-0000-0000-000044000000}">
      <text>
        <r>
          <rPr>
            <b/>
            <sz val="9"/>
            <color indexed="81"/>
            <rFont val="Tahoma"/>
            <family val="2"/>
          </rPr>
          <t xml:space="preserve">Input the proposed quantity and round up to the nearest full linear foot.  </t>
        </r>
      </text>
    </comment>
    <comment ref="L33" authorId="0" shapeId="0" xr:uid="{00000000-0006-0000-0000-000045000000}">
      <text>
        <r>
          <rPr>
            <b/>
            <sz val="9"/>
            <color indexed="81"/>
            <rFont val="Tahoma"/>
            <family val="2"/>
          </rPr>
          <t>Selectable field.</t>
        </r>
      </text>
    </comment>
    <comment ref="B34" authorId="0" shapeId="0" xr:uid="{00000000-0006-0000-0000-000046000000}">
      <text>
        <r>
          <rPr>
            <b/>
            <sz val="9"/>
            <color indexed="81"/>
            <rFont val="Tahoma"/>
            <family val="2"/>
          </rPr>
          <t>Selectable pipe size.</t>
        </r>
      </text>
    </comment>
    <comment ref="D34" authorId="0" shapeId="0" xr:uid="{00000000-0006-0000-0000-000047000000}">
      <text>
        <r>
          <rPr>
            <b/>
            <sz val="9"/>
            <color indexed="81"/>
            <rFont val="Tahoma"/>
            <family val="2"/>
          </rPr>
          <t xml:space="preserve">Input the proposed quantity and round up to the nearest full linear foot.  </t>
        </r>
      </text>
    </comment>
    <comment ref="E34" authorId="0" shapeId="0" xr:uid="{00000000-0006-0000-0000-000048000000}">
      <text>
        <r>
          <rPr>
            <b/>
            <sz val="9"/>
            <color indexed="81"/>
            <rFont val="Tahoma"/>
            <family val="2"/>
          </rPr>
          <t>Selectable field.</t>
        </r>
      </text>
    </comment>
    <comment ref="I34" authorId="0" shapeId="0" xr:uid="{00000000-0006-0000-0000-000049000000}">
      <text>
        <r>
          <rPr>
            <b/>
            <sz val="9"/>
            <color indexed="81"/>
            <rFont val="Tahoma"/>
            <family val="2"/>
          </rPr>
          <t>Selectable pipe size.</t>
        </r>
      </text>
    </comment>
    <comment ref="K34" authorId="0" shapeId="0" xr:uid="{00000000-0006-0000-0000-00004A000000}">
      <text>
        <r>
          <rPr>
            <b/>
            <sz val="9"/>
            <color indexed="81"/>
            <rFont val="Tahoma"/>
            <family val="2"/>
          </rPr>
          <t xml:space="preserve">Input the proposed quantity and round up to the nearest full linear foot.  </t>
        </r>
      </text>
    </comment>
    <comment ref="L34" authorId="0" shapeId="0" xr:uid="{00000000-0006-0000-0000-00004B000000}">
      <text>
        <r>
          <rPr>
            <b/>
            <sz val="9"/>
            <color indexed="81"/>
            <rFont val="Tahoma"/>
            <family val="2"/>
          </rPr>
          <t>Selectable field.</t>
        </r>
      </text>
    </comment>
    <comment ref="B35" authorId="0" shapeId="0" xr:uid="{00000000-0006-0000-0000-00004C000000}">
      <text>
        <r>
          <rPr>
            <b/>
            <sz val="9"/>
            <color indexed="81"/>
            <rFont val="Tahoma"/>
            <family val="2"/>
          </rPr>
          <t>Selectable pipe size.</t>
        </r>
      </text>
    </comment>
    <comment ref="D35" authorId="0" shapeId="0" xr:uid="{00000000-0006-0000-0000-00004D000000}">
      <text>
        <r>
          <rPr>
            <b/>
            <sz val="9"/>
            <color indexed="81"/>
            <rFont val="Tahoma"/>
            <family val="2"/>
          </rPr>
          <t xml:space="preserve">Input the proposed quantity and round up to the nearest full linear foot.  </t>
        </r>
      </text>
    </comment>
    <comment ref="E35" authorId="0" shapeId="0" xr:uid="{00000000-0006-0000-0000-00004E000000}">
      <text>
        <r>
          <rPr>
            <b/>
            <sz val="9"/>
            <color indexed="81"/>
            <rFont val="Tahoma"/>
            <family val="2"/>
          </rPr>
          <t>Selectable field.</t>
        </r>
      </text>
    </comment>
    <comment ref="I35" authorId="0" shapeId="0" xr:uid="{00000000-0006-0000-0000-00004F000000}">
      <text>
        <r>
          <rPr>
            <b/>
            <sz val="9"/>
            <color indexed="81"/>
            <rFont val="Tahoma"/>
            <family val="2"/>
          </rPr>
          <t>Selectable pipe size.</t>
        </r>
      </text>
    </comment>
    <comment ref="K35" authorId="0" shapeId="0" xr:uid="{00000000-0006-0000-0000-000050000000}">
      <text>
        <r>
          <rPr>
            <b/>
            <sz val="9"/>
            <color indexed="81"/>
            <rFont val="Tahoma"/>
            <family val="2"/>
          </rPr>
          <t xml:space="preserve">Input the proposed quantity and round up to the nearest full linear foot.  </t>
        </r>
      </text>
    </comment>
    <comment ref="L35" authorId="0" shapeId="0" xr:uid="{00000000-0006-0000-0000-000051000000}">
      <text>
        <r>
          <rPr>
            <b/>
            <sz val="9"/>
            <color indexed="81"/>
            <rFont val="Tahoma"/>
            <family val="2"/>
          </rPr>
          <t>Selectable field.</t>
        </r>
      </text>
    </comment>
    <comment ref="B36" authorId="0" shapeId="0" xr:uid="{00000000-0006-0000-0000-000052000000}">
      <text>
        <r>
          <rPr>
            <b/>
            <sz val="9"/>
            <color indexed="81"/>
            <rFont val="Tahoma"/>
            <family val="2"/>
          </rPr>
          <t>Selectable pipe size.</t>
        </r>
      </text>
    </comment>
    <comment ref="D36" authorId="0" shapeId="0" xr:uid="{00000000-0006-0000-0000-000053000000}">
      <text>
        <r>
          <rPr>
            <b/>
            <sz val="9"/>
            <color indexed="81"/>
            <rFont val="Tahoma"/>
            <family val="2"/>
          </rPr>
          <t xml:space="preserve">Input the proposed quantity and round up to the nearest full linear foot.  </t>
        </r>
      </text>
    </comment>
    <comment ref="E36" authorId="0" shapeId="0" xr:uid="{00000000-0006-0000-0000-000054000000}">
      <text>
        <r>
          <rPr>
            <b/>
            <sz val="9"/>
            <color indexed="81"/>
            <rFont val="Tahoma"/>
            <family val="2"/>
          </rPr>
          <t>Selectable field.</t>
        </r>
      </text>
    </comment>
    <comment ref="I36" authorId="0" shapeId="0" xr:uid="{00000000-0006-0000-0000-000055000000}">
      <text>
        <r>
          <rPr>
            <b/>
            <sz val="9"/>
            <color indexed="81"/>
            <rFont val="Tahoma"/>
            <family val="2"/>
          </rPr>
          <t>Selectable pipe size.</t>
        </r>
      </text>
    </comment>
    <comment ref="K36" authorId="0" shapeId="0" xr:uid="{00000000-0006-0000-0000-000056000000}">
      <text>
        <r>
          <rPr>
            <b/>
            <sz val="9"/>
            <color indexed="81"/>
            <rFont val="Tahoma"/>
            <family val="2"/>
          </rPr>
          <t xml:space="preserve">Input the proposed quantity and round up to the nearest full linear foot.  </t>
        </r>
      </text>
    </comment>
    <comment ref="L36" authorId="0" shapeId="0" xr:uid="{00000000-0006-0000-0000-000057000000}">
      <text>
        <r>
          <rPr>
            <b/>
            <sz val="9"/>
            <color indexed="81"/>
            <rFont val="Tahoma"/>
            <family val="2"/>
          </rPr>
          <t>Selectable field.</t>
        </r>
      </text>
    </comment>
    <comment ref="O36" authorId="0" shapeId="0" xr:uid="{00000000-0006-0000-0000-000058000000}">
      <text>
        <r>
          <rPr>
            <b/>
            <sz val="9"/>
            <color indexed="81"/>
            <rFont val="Tahoma"/>
            <family val="2"/>
          </rPr>
          <t>Select if appropriate.</t>
        </r>
      </text>
    </comment>
    <comment ref="AJ37" authorId="0" shapeId="0" xr:uid="{00000000-0006-0000-0000-000059000000}">
      <text>
        <r>
          <rPr>
            <b/>
            <sz val="9"/>
            <color indexed="81"/>
            <rFont val="Tahoma"/>
            <family val="2"/>
          </rPr>
          <t>Quantities total automatically from the table above. There should be no need to manually input quantities.</t>
        </r>
      </text>
    </comment>
    <comment ref="D38" authorId="0" shapeId="0" xr:uid="{00000000-0006-0000-0000-00005A000000}">
      <text>
        <r>
          <rPr>
            <b/>
            <sz val="9"/>
            <color indexed="81"/>
            <rFont val="Tahoma"/>
            <family val="2"/>
          </rPr>
          <t>Quantities total automatically from project metrics listed below. There should be no need to manually input quantities.</t>
        </r>
      </text>
    </comment>
    <comment ref="K38" authorId="0" shapeId="0" xr:uid="{00000000-0006-0000-0000-00005B000000}">
      <text>
        <r>
          <rPr>
            <b/>
            <sz val="9"/>
            <color indexed="81"/>
            <rFont val="Tahoma"/>
            <family val="2"/>
          </rPr>
          <t>Quantities total automatically from project metrics listed below. There should be no need to manually input quantities.</t>
        </r>
      </text>
    </comment>
    <comment ref="AJ38" authorId="0" shapeId="0" xr:uid="{00000000-0006-0000-0000-00005C000000}">
      <text>
        <r>
          <rPr>
            <b/>
            <sz val="9"/>
            <color indexed="81"/>
            <rFont val="Tahoma"/>
            <family val="2"/>
          </rPr>
          <t>The water demanded is calculated automatically based combined fixture value compared to the AWWA M22 demand curve. The demanded curve is selected based on High Demand or Low Demand use. No manual input is required.</t>
        </r>
      </text>
    </comment>
    <comment ref="O39" authorId="0" shapeId="0" xr:uid="{00000000-0006-0000-0000-00005D000000}">
      <text>
        <r>
          <rPr>
            <b/>
            <sz val="9"/>
            <color indexed="81"/>
            <rFont val="Tahoma"/>
            <family val="2"/>
          </rPr>
          <t>Select if appropriate and provide a complete list below.</t>
        </r>
      </text>
    </comment>
    <comment ref="AJ39" authorId="0" shapeId="0" xr:uid="{00000000-0006-0000-0000-00005E000000}">
      <text>
        <r>
          <rPr>
            <b/>
            <sz val="9"/>
            <color indexed="81"/>
            <rFont val="Tahoma"/>
            <family val="2"/>
          </rPr>
          <t>The pressure factor is automatically selected from AWWA M22 based on the maximum static water pressure selected above. No manual input is required.</t>
        </r>
      </text>
    </comment>
    <comment ref="AJ40" authorId="0" shapeId="0" xr:uid="{00000000-0006-0000-0000-00005F000000}">
      <text>
        <r>
          <rPr>
            <b/>
            <sz val="9"/>
            <color indexed="81"/>
            <rFont val="Tahoma"/>
            <family val="2"/>
          </rPr>
          <t>This is a self calculating field.  No manual input is required.</t>
        </r>
      </text>
    </comment>
    <comment ref="B41" authorId="0" shapeId="0" xr:uid="{00000000-0006-0000-0000-000060000000}">
      <text>
        <r>
          <rPr>
            <b/>
            <sz val="9"/>
            <color indexed="81"/>
            <rFont val="Tahoma"/>
            <family val="2"/>
          </rPr>
          <t>A summary of the valve count in the PWCSA sheet is necessary to best manage and track bond reductions.</t>
        </r>
      </text>
    </comment>
    <comment ref="K41" authorId="0" shapeId="0" xr:uid="{00000000-0006-0000-0000-000061000000}">
      <text>
        <r>
          <rPr>
            <b/>
            <sz val="9"/>
            <color indexed="81"/>
            <rFont val="Tahoma"/>
            <family val="2"/>
          </rPr>
          <t xml:space="preserve">Direct input required.
</t>
        </r>
      </text>
    </comment>
    <comment ref="AJ41" authorId="0" shapeId="0" xr:uid="{00000000-0006-0000-0000-000062000000}">
      <text>
        <r>
          <rPr>
            <b/>
            <sz val="9"/>
            <color indexed="81"/>
            <rFont val="Tahoma"/>
            <family val="2"/>
          </rPr>
          <t>Manual input required if applicable.</t>
        </r>
      </text>
    </comment>
    <comment ref="K42" authorId="0" shapeId="0" xr:uid="{00000000-0006-0000-0000-000063000000}">
      <text>
        <r>
          <rPr>
            <b/>
            <sz val="9"/>
            <color indexed="81"/>
            <rFont val="Tahoma"/>
            <family val="2"/>
          </rPr>
          <t xml:space="preserve">Direct input required.
</t>
        </r>
      </text>
    </comment>
    <comment ref="P42" authorId="0" shapeId="0" xr:uid="{00000000-0006-0000-0000-000064000000}">
      <text>
        <r>
          <rPr>
            <b/>
            <sz val="9"/>
            <color indexed="81"/>
            <rFont val="Tahoma"/>
            <family val="2"/>
          </rPr>
          <t>Expand this table as needed.</t>
        </r>
      </text>
    </comment>
    <comment ref="AJ42" authorId="0" shapeId="0" xr:uid="{00000000-0006-0000-0000-000065000000}">
      <text>
        <r>
          <rPr>
            <b/>
            <sz val="9"/>
            <color indexed="81"/>
            <rFont val="Tahoma"/>
            <family val="2"/>
          </rPr>
          <t>Manual input required if applicable.</t>
        </r>
      </text>
    </comment>
    <comment ref="K43" authorId="0" shapeId="0" xr:uid="{00000000-0006-0000-0000-000066000000}">
      <text>
        <r>
          <rPr>
            <b/>
            <sz val="9"/>
            <color indexed="81"/>
            <rFont val="Tahoma"/>
            <family val="2"/>
          </rPr>
          <t xml:space="preserve">Direct input required.
</t>
        </r>
      </text>
    </comment>
    <comment ref="AJ43" authorId="0" shapeId="0" xr:uid="{00000000-0006-0000-0000-000067000000}">
      <text>
        <r>
          <rPr>
            <b/>
            <sz val="9"/>
            <color indexed="81"/>
            <rFont val="Tahoma"/>
            <family val="2"/>
          </rPr>
          <t>This is a self calculating field.  No manual input is required.</t>
        </r>
      </text>
    </comment>
    <comment ref="K45" authorId="0" shapeId="0" xr:uid="{00000000-0006-0000-0000-000068000000}">
      <text>
        <r>
          <rPr>
            <b/>
            <sz val="9"/>
            <color indexed="81"/>
            <rFont val="Tahoma"/>
            <family val="2"/>
          </rPr>
          <t xml:space="preserve">Direct input required.
</t>
        </r>
      </text>
    </comment>
    <comment ref="P45" authorId="0" shapeId="0" xr:uid="{00000000-0006-0000-0000-000069000000}">
      <text>
        <r>
          <rPr>
            <b/>
            <sz val="9"/>
            <color indexed="81"/>
            <rFont val="Tahoma"/>
            <family val="2"/>
          </rPr>
          <t>Manual input required.</t>
        </r>
      </text>
    </comment>
    <comment ref="Q45" authorId="0" shapeId="0" xr:uid="{00000000-0006-0000-0000-00006A000000}">
      <text>
        <r>
          <rPr>
            <b/>
            <sz val="9"/>
            <color indexed="81"/>
            <rFont val="Tahoma"/>
            <family val="2"/>
          </rPr>
          <t>Manual input required.</t>
        </r>
      </text>
    </comment>
    <comment ref="R45" authorId="0" shapeId="0" xr:uid="{00000000-0006-0000-0000-00006B000000}">
      <text>
        <r>
          <rPr>
            <b/>
            <sz val="9"/>
            <color indexed="81"/>
            <rFont val="Tahoma"/>
            <family val="2"/>
          </rPr>
          <t>Automatically populated.  Data entry is restricted.</t>
        </r>
      </text>
    </comment>
    <comment ref="S45" authorId="0" shapeId="0" xr:uid="{00000000-0006-0000-0000-00006C000000}">
      <text>
        <r>
          <rPr>
            <b/>
            <sz val="9"/>
            <color indexed="81"/>
            <rFont val="Tahoma"/>
            <family val="2"/>
          </rPr>
          <t>Automatically populated.  Data entry is restricted.</t>
        </r>
      </text>
    </comment>
    <comment ref="T45" authorId="0" shapeId="0" xr:uid="{00000000-0006-0000-0000-00006D000000}">
      <text>
        <r>
          <rPr>
            <b/>
            <sz val="9"/>
            <color indexed="81"/>
            <rFont val="Tahoma"/>
            <family val="2"/>
          </rPr>
          <t>This is a self calculating field.  No manual input is required.</t>
        </r>
      </text>
    </comment>
    <comment ref="U45" authorId="0" shapeId="0" xr:uid="{00000000-0006-0000-0000-00006E000000}">
      <text>
        <r>
          <rPr>
            <b/>
            <sz val="9"/>
            <color indexed="81"/>
            <rFont val="Tahoma"/>
            <family val="2"/>
          </rPr>
          <t>This is a self calculating field.  No manual input is required.</t>
        </r>
      </text>
    </comment>
    <comment ref="V45" authorId="0" shapeId="0" xr:uid="{00000000-0006-0000-0000-00006F000000}">
      <text>
        <r>
          <rPr>
            <b/>
            <sz val="9"/>
            <color indexed="81"/>
            <rFont val="Tahoma"/>
            <family val="2"/>
          </rPr>
          <t>This is a self calculating field.  No manual input is required.</t>
        </r>
      </text>
    </comment>
    <comment ref="W45" authorId="0" shapeId="0" xr:uid="{00000000-0006-0000-0000-000070000000}">
      <text>
        <r>
          <rPr>
            <b/>
            <sz val="9"/>
            <color indexed="81"/>
            <rFont val="Tahoma"/>
            <family val="2"/>
          </rPr>
          <t>This is a self calculating field.  No manual input is required.</t>
        </r>
      </text>
    </comment>
    <comment ref="AJ45" authorId="0" shapeId="0" xr:uid="{00000000-0006-0000-0000-000071000000}">
      <text>
        <r>
          <rPr>
            <b/>
            <sz val="9"/>
            <color indexed="81"/>
            <rFont val="Tahoma"/>
            <family val="2"/>
          </rPr>
          <t>This is a self calculating field.  No manual input is required.</t>
        </r>
      </text>
    </comment>
    <comment ref="K46" authorId="0" shapeId="0" xr:uid="{00000000-0006-0000-0000-000072000000}">
      <text>
        <r>
          <rPr>
            <b/>
            <sz val="9"/>
            <color indexed="81"/>
            <rFont val="Tahoma"/>
            <family val="2"/>
          </rPr>
          <t xml:space="preserve">Direct input required.
</t>
        </r>
      </text>
    </comment>
    <comment ref="P46" authorId="0" shapeId="0" xr:uid="{00000000-0006-0000-0000-000073000000}">
      <text>
        <r>
          <rPr>
            <b/>
            <sz val="9"/>
            <color indexed="81"/>
            <rFont val="Tahoma"/>
            <family val="2"/>
          </rPr>
          <t>Manual input required.</t>
        </r>
      </text>
    </comment>
    <comment ref="Q46" authorId="0" shapeId="0" xr:uid="{00000000-0006-0000-0000-000074000000}">
      <text>
        <r>
          <rPr>
            <b/>
            <sz val="9"/>
            <color indexed="81"/>
            <rFont val="Tahoma"/>
            <family val="2"/>
          </rPr>
          <t>Manual input required.</t>
        </r>
      </text>
    </comment>
    <comment ref="R46" authorId="0" shapeId="0" xr:uid="{00000000-0006-0000-0000-000075000000}">
      <text>
        <r>
          <rPr>
            <b/>
            <sz val="9"/>
            <color indexed="81"/>
            <rFont val="Tahoma"/>
            <family val="2"/>
          </rPr>
          <t>Automatically populated.  Data entry is restricted.</t>
        </r>
      </text>
    </comment>
    <comment ref="S46" authorId="0" shapeId="0" xr:uid="{00000000-0006-0000-0000-000076000000}">
      <text>
        <r>
          <rPr>
            <b/>
            <sz val="9"/>
            <color indexed="81"/>
            <rFont val="Tahoma"/>
            <family val="2"/>
          </rPr>
          <t>Automatically populated.  Data entry is restricted.</t>
        </r>
      </text>
    </comment>
    <comment ref="T46" authorId="0" shapeId="0" xr:uid="{00000000-0006-0000-0000-000077000000}">
      <text>
        <r>
          <rPr>
            <b/>
            <sz val="9"/>
            <color indexed="81"/>
            <rFont val="Tahoma"/>
            <family val="2"/>
          </rPr>
          <t>This is a self calculating field.  No manual input is required.</t>
        </r>
      </text>
    </comment>
    <comment ref="U46" authorId="0" shapeId="0" xr:uid="{00000000-0006-0000-0000-000078000000}">
      <text>
        <r>
          <rPr>
            <b/>
            <sz val="9"/>
            <color indexed="81"/>
            <rFont val="Tahoma"/>
            <family val="2"/>
          </rPr>
          <t>This is a self calculating field.  No manual input is required.</t>
        </r>
      </text>
    </comment>
    <comment ref="V46" authorId="0" shapeId="0" xr:uid="{00000000-0006-0000-0000-000079000000}">
      <text>
        <r>
          <rPr>
            <b/>
            <sz val="9"/>
            <color indexed="81"/>
            <rFont val="Tahoma"/>
            <family val="2"/>
          </rPr>
          <t>This is a self calculating field.  No manual input is required.</t>
        </r>
      </text>
    </comment>
    <comment ref="W46" authorId="0" shapeId="0" xr:uid="{00000000-0006-0000-0000-00007A000000}">
      <text>
        <r>
          <rPr>
            <b/>
            <sz val="9"/>
            <color indexed="81"/>
            <rFont val="Tahoma"/>
            <family val="2"/>
          </rPr>
          <t>This is a self calculating field.  No manual input is required.</t>
        </r>
      </text>
    </comment>
    <comment ref="K47" authorId="0" shapeId="0" xr:uid="{00000000-0006-0000-0000-00007B000000}">
      <text>
        <r>
          <rPr>
            <b/>
            <sz val="9"/>
            <color indexed="81"/>
            <rFont val="Tahoma"/>
            <family val="2"/>
          </rPr>
          <t xml:space="preserve">Direct input required.
</t>
        </r>
      </text>
    </comment>
    <comment ref="D48" authorId="0" shapeId="0" xr:uid="{00000000-0006-0000-0000-00007C000000}">
      <text>
        <r>
          <rPr>
            <b/>
            <sz val="9"/>
            <color indexed="81"/>
            <rFont val="Tahoma"/>
            <family val="2"/>
          </rPr>
          <t>Selectable field.</t>
        </r>
      </text>
    </comment>
    <comment ref="K48" authorId="0" shapeId="0" xr:uid="{00000000-0006-0000-0000-00007D000000}">
      <text>
        <r>
          <rPr>
            <b/>
            <sz val="9"/>
            <color indexed="81"/>
            <rFont val="Tahoma"/>
            <family val="2"/>
          </rPr>
          <t xml:space="preserve">Direct input required.
</t>
        </r>
      </text>
    </comment>
    <comment ref="O54" authorId="0" shapeId="0" xr:uid="{00000000-0006-0000-0000-00007E000000}">
      <text>
        <r>
          <rPr>
            <b/>
            <sz val="9"/>
            <color indexed="81"/>
            <rFont val="Tahoma"/>
            <family val="2"/>
          </rPr>
          <t>Requires manual input.</t>
        </r>
      </text>
    </comment>
    <comment ref="Q54" authorId="0" shapeId="0" xr:uid="{00000000-0006-0000-0000-00007F000000}">
      <text>
        <r>
          <rPr>
            <b/>
            <sz val="9"/>
            <color indexed="81"/>
            <rFont val="Tahoma"/>
            <family val="2"/>
          </rPr>
          <t>Requires manual input.</t>
        </r>
      </text>
    </comment>
    <comment ref="T54" authorId="0" shapeId="0" xr:uid="{00000000-0006-0000-0000-000080000000}">
      <text>
        <r>
          <rPr>
            <b/>
            <sz val="9"/>
            <color indexed="81"/>
            <rFont val="Tahoma"/>
            <family val="2"/>
          </rPr>
          <t>Requires manual input.</t>
        </r>
      </text>
    </comment>
    <comment ref="W54" authorId="0" shapeId="0" xr:uid="{00000000-0006-0000-0000-000081000000}">
      <text>
        <r>
          <rPr>
            <b/>
            <sz val="9"/>
            <color indexed="81"/>
            <rFont val="Tahoma"/>
            <family val="2"/>
          </rPr>
          <t>Selectable account type.</t>
        </r>
      </text>
    </comment>
    <comment ref="Y54" authorId="0" shapeId="0" xr:uid="{00000000-0006-0000-0000-000082000000}">
      <text>
        <r>
          <rPr>
            <b/>
            <sz val="9"/>
            <color indexed="81"/>
            <rFont val="Tahoma"/>
            <family val="2"/>
          </rPr>
          <t>Requires manual input.</t>
        </r>
      </text>
    </comment>
    <comment ref="AA54" authorId="0" shapeId="0" xr:uid="{00000000-0006-0000-0000-000083000000}">
      <text>
        <r>
          <rPr>
            <b/>
            <sz val="9"/>
            <color indexed="81"/>
            <rFont val="Tahoma"/>
            <family val="2"/>
          </rPr>
          <t>Requires manual input based on the meter sizing calculations.</t>
        </r>
      </text>
    </comment>
    <comment ref="AB54" authorId="0" shapeId="0" xr:uid="{00000000-0006-0000-0000-000084000000}">
      <text>
        <r>
          <rPr>
            <b/>
            <sz val="9"/>
            <color indexed="81"/>
            <rFont val="Tahoma"/>
            <family val="2"/>
          </rPr>
          <t xml:space="preserve">This field automatically calculates the ERU's based on 80% of the number of dwelling unit; however, it can be manually overwritten for water only account types.
</t>
        </r>
      </text>
    </comment>
    <comment ref="AC54" authorId="0" shapeId="0" xr:uid="{00000000-0006-0000-0000-000085000000}">
      <text>
        <r>
          <rPr>
            <b/>
            <sz val="9"/>
            <color indexed="81"/>
            <rFont val="Tahoma"/>
            <family val="2"/>
          </rPr>
          <t>This field automatically calculates based on the Peak Demand (gpm).</t>
        </r>
      </text>
    </comment>
    <comment ref="AD54" authorId="0" shapeId="0" xr:uid="{00000000-0006-0000-0000-000086000000}">
      <text>
        <r>
          <rPr>
            <b/>
            <sz val="9"/>
            <color indexed="81"/>
            <rFont val="Tahoma"/>
            <family val="2"/>
          </rPr>
          <t>This field automatically calculates based on the account type and meter size.</t>
        </r>
      </text>
    </comment>
    <comment ref="AF54" authorId="0" shapeId="0" xr:uid="{1727B2F2-70DD-4FA0-8D8F-4043892FE353}">
      <text>
        <r>
          <rPr>
            <b/>
            <sz val="9"/>
            <color indexed="81"/>
            <rFont val="Tahoma"/>
            <family val="2"/>
          </rPr>
          <t>This field automatically calculates, but requires the number of ERU units and the meter size to trigger.
------------------------------
This is not a quote. Supplemental fees (e.g. meter fee, inspection fee, installation fee, etc.) are not included in the estimate.</t>
        </r>
      </text>
    </comment>
    <comment ref="AH54" authorId="0" shapeId="0" xr:uid="{6825B17F-3EA6-4684-97E8-969491844B60}">
      <text>
        <r>
          <rPr>
            <b/>
            <sz val="9"/>
            <color indexed="81"/>
            <rFont val="Tahoma"/>
            <family val="2"/>
          </rPr>
          <t>This field automatically calculates, but requires the number of ERU units and the meter size to trigger.
------------------------------
This is not a quote. Supplemental fees (e.g. meter fee, inspection fee, installation fee, etc.) are not included in the estimate.</t>
        </r>
      </text>
    </comment>
    <comment ref="AJ54" authorId="0" shapeId="0" xr:uid="{554E58DD-305C-4EBF-86C6-B578CD171708}">
      <text>
        <r>
          <rPr>
            <b/>
            <sz val="9"/>
            <color indexed="81"/>
            <rFont val="Tahoma"/>
            <family val="2"/>
          </rPr>
          <t>This field automatically calculates, but requires the number of ERU units and the meter size to trigger.
------------------------------
This is not a quote. Supplemental fees (e.g. meter fee, inspection fee, installation fee, etc.) are not included in the estimate.</t>
        </r>
      </text>
    </comment>
    <comment ref="J55" authorId="0" shapeId="0" xr:uid="{00000000-0006-0000-0000-000088000000}">
      <text>
        <r>
          <rPr>
            <b/>
            <sz val="9"/>
            <color indexed="81"/>
            <rFont val="Tahoma"/>
            <family val="2"/>
          </rPr>
          <t>Enter plan number when applicable</t>
        </r>
      </text>
    </comment>
    <comment ref="B56" authorId="0" shapeId="0" xr:uid="{00000000-0006-0000-0000-000089000000}">
      <text>
        <r>
          <rPr>
            <b/>
            <sz val="9"/>
            <color indexed="81"/>
            <rFont val="Tahoma"/>
            <family val="2"/>
          </rPr>
          <t>Water mains require inspection.  Water service line to meters and hydrant leads less than 50 feet are exempt.</t>
        </r>
      </text>
    </comment>
    <comment ref="H56" authorId="0" shapeId="0" xr:uid="{00000000-0006-0000-0000-00008A000000}">
      <text>
        <r>
          <rPr>
            <b/>
            <sz val="9"/>
            <color indexed="81"/>
            <rFont val="Tahoma"/>
            <family val="2"/>
          </rPr>
          <t>Quantities total automatically from project metrics listed below. There should be no need to manually input quantities.</t>
        </r>
      </text>
    </comment>
    <comment ref="J56" authorId="0" shapeId="0" xr:uid="{00000000-0006-0000-0000-00008B000000}">
      <text>
        <r>
          <rPr>
            <b/>
            <sz val="9"/>
            <color indexed="81"/>
            <rFont val="Tahoma"/>
            <family val="2"/>
          </rPr>
          <t>Manually populated field, if applicable. Used for plan revision.</t>
        </r>
      </text>
    </comment>
    <comment ref="L56" authorId="0" shapeId="0" xr:uid="{00000000-0006-0000-0000-00008C000000}">
      <text>
        <r>
          <rPr>
            <b/>
            <sz val="9"/>
            <color indexed="81"/>
            <rFont val="Tahoma"/>
            <family val="2"/>
          </rPr>
          <t>Manually populated field, if applicable. Used for plan revision to determine the change in quantities from the original plan.</t>
        </r>
      </text>
    </comment>
    <comment ref="B57" authorId="0" shapeId="0" xr:uid="{00000000-0006-0000-0000-00008D000000}">
      <text>
        <r>
          <rPr>
            <b/>
            <sz val="9"/>
            <color indexed="81"/>
            <rFont val="Tahoma"/>
            <family val="2"/>
          </rPr>
          <t>Water mains require as-built  Water service line to meters and hydrant leads less than 50 feet are exempt.</t>
        </r>
      </text>
    </comment>
    <comment ref="H57" authorId="0" shapeId="0" xr:uid="{00000000-0006-0000-0000-00008E000000}">
      <text>
        <r>
          <rPr>
            <b/>
            <sz val="9"/>
            <color indexed="81"/>
            <rFont val="Tahoma"/>
            <family val="2"/>
          </rPr>
          <t>Quantities total automatically from project metrics listed below. There should be no need to manually input quantities.</t>
        </r>
      </text>
    </comment>
    <comment ref="J57" authorId="0" shapeId="0" xr:uid="{00000000-0006-0000-0000-00008F000000}">
      <text>
        <r>
          <rPr>
            <b/>
            <sz val="9"/>
            <color indexed="81"/>
            <rFont val="Tahoma"/>
            <family val="2"/>
          </rPr>
          <t>Manually populated field, if applicable. Used for plan revision.</t>
        </r>
      </text>
    </comment>
    <comment ref="L57" authorId="0" shapeId="0" xr:uid="{00000000-0006-0000-0000-000090000000}">
      <text>
        <r>
          <rPr>
            <b/>
            <sz val="9"/>
            <color indexed="81"/>
            <rFont val="Tahoma"/>
            <family val="2"/>
          </rPr>
          <t>Manually populated field, if applicable. Used for plan revision to determine the change in quantities from the original plan.</t>
        </r>
      </text>
    </comment>
    <comment ref="B59" authorId="0" shapeId="0" xr:uid="{00000000-0006-0000-0000-000091000000}">
      <text>
        <r>
          <rPr>
            <b/>
            <sz val="9"/>
            <color indexed="81"/>
            <rFont val="Tahoma"/>
            <family val="2"/>
          </rPr>
          <t>Sanitary sewer and force main require inspection. Gravity laterals and low pressure service lines to the property flushing station are exempt.</t>
        </r>
      </text>
    </comment>
    <comment ref="H59" authorId="0" shapeId="0" xr:uid="{00000000-0006-0000-0000-000092000000}">
      <text>
        <r>
          <rPr>
            <b/>
            <sz val="9"/>
            <color indexed="81"/>
            <rFont val="Tahoma"/>
            <family val="2"/>
          </rPr>
          <t>Quantities total automatically from project metrics listed below. There should be no need to manually input quantities.</t>
        </r>
      </text>
    </comment>
    <comment ref="J59" authorId="0" shapeId="0" xr:uid="{00000000-0006-0000-0000-000093000000}">
      <text>
        <r>
          <rPr>
            <b/>
            <sz val="9"/>
            <color indexed="81"/>
            <rFont val="Tahoma"/>
            <family val="2"/>
          </rPr>
          <t>Manually populated field, if applicable. Used for plan revision.</t>
        </r>
      </text>
    </comment>
    <comment ref="L59" authorId="0" shapeId="0" xr:uid="{00000000-0006-0000-0000-000094000000}">
      <text>
        <r>
          <rPr>
            <b/>
            <sz val="9"/>
            <color indexed="81"/>
            <rFont val="Tahoma"/>
            <family val="2"/>
          </rPr>
          <t>Manually populated field, if applicable. Used for plan revision to determine the change in quantities from the original plan.</t>
        </r>
      </text>
    </comment>
    <comment ref="B60" authorId="0" shapeId="0" xr:uid="{00000000-0006-0000-0000-000095000000}">
      <text>
        <r>
          <rPr>
            <b/>
            <sz val="9"/>
            <color indexed="81"/>
            <rFont val="Tahoma"/>
            <family val="2"/>
          </rPr>
          <t>Sanitary sewer and force main require as-built. Gravity laterals and low pressure service lines to the property flushing station are exempt.</t>
        </r>
      </text>
    </comment>
    <comment ref="H60" authorId="0" shapeId="0" xr:uid="{00000000-0006-0000-0000-000096000000}">
      <text>
        <r>
          <rPr>
            <b/>
            <sz val="9"/>
            <color indexed="81"/>
            <rFont val="Tahoma"/>
            <family val="2"/>
          </rPr>
          <t>Quantities total automatically from project metrics listed below. There should be no need to manually input quantities.</t>
        </r>
      </text>
    </comment>
    <comment ref="J60" authorId="0" shapeId="0" xr:uid="{00000000-0006-0000-0000-000097000000}">
      <text>
        <r>
          <rPr>
            <b/>
            <sz val="9"/>
            <color indexed="81"/>
            <rFont val="Tahoma"/>
            <family val="2"/>
          </rPr>
          <t>Manually populated field, if applicable. Used for plan revision.</t>
        </r>
      </text>
    </comment>
    <comment ref="L60" authorId="0" shapeId="0" xr:uid="{00000000-0006-0000-0000-000098000000}">
      <text>
        <r>
          <rPr>
            <b/>
            <sz val="9"/>
            <color indexed="81"/>
            <rFont val="Tahoma"/>
            <family val="2"/>
          </rPr>
          <t>Manually populated field, if applicable. Used for plan revision to determine the change in quantities from the original plan.</t>
        </r>
      </text>
    </comment>
    <comment ref="B62" authorId="0" shapeId="0" xr:uid="{00000000-0006-0000-0000-000099000000}">
      <text>
        <r>
          <rPr>
            <b/>
            <sz val="9"/>
            <color indexed="81"/>
            <rFont val="Tahoma"/>
            <family val="2"/>
          </rPr>
          <t>Force mains cannot be TV inspected and are exempt.</t>
        </r>
      </text>
    </comment>
    <comment ref="H62" authorId="0" shapeId="0" xr:uid="{00000000-0006-0000-0000-00009A000000}">
      <text>
        <r>
          <rPr>
            <b/>
            <sz val="9"/>
            <color indexed="81"/>
            <rFont val="Tahoma"/>
            <family val="2"/>
          </rPr>
          <t>Quantities total automatically from project metrics listed below. There should be no need to manually input quantities.</t>
        </r>
      </text>
    </comment>
    <comment ref="J62" authorId="0" shapeId="0" xr:uid="{00000000-0006-0000-0000-00009B000000}">
      <text>
        <r>
          <rPr>
            <b/>
            <sz val="9"/>
            <color indexed="81"/>
            <rFont val="Tahoma"/>
            <family val="2"/>
          </rPr>
          <t>Manually populated field, if applicable. Used for plan revision.</t>
        </r>
      </text>
    </comment>
    <comment ref="L62" authorId="0" shapeId="0" xr:uid="{00000000-0006-0000-0000-00009C000000}">
      <text>
        <r>
          <rPr>
            <b/>
            <sz val="9"/>
            <color indexed="81"/>
            <rFont val="Tahoma"/>
            <family val="2"/>
          </rPr>
          <t>Manually populated field, if applicable. Used for plan revision to determine the change in quantities from the original plan.</t>
        </r>
      </text>
    </comment>
    <comment ref="B64" authorId="0" shapeId="0" xr:uid="{00000000-0006-0000-0000-00009D000000}">
      <text>
        <r>
          <rPr>
            <b/>
            <sz val="9"/>
            <color indexed="81"/>
            <rFont val="Tahoma"/>
            <family val="2"/>
          </rPr>
          <t>A minimum inspection fee is applicable when inspection service must be rendered for work on water feature (e.g. wet tap, service tap, etc.) that impact Service assets or the quantities are less than 100 feet.</t>
        </r>
      </text>
    </comment>
    <comment ref="L64" authorId="0" shapeId="0" xr:uid="{00000000-0006-0000-0000-00009E000000}">
      <text>
        <r>
          <rPr>
            <b/>
            <sz val="9"/>
            <color indexed="81"/>
            <rFont val="Tahoma"/>
            <family val="2"/>
          </rPr>
          <t>This result either YES or NO based on the quantities.  Manual override of YES if quantities are zero, but there still needs to be inspection services rendered (e.g.. A hydrant installation).</t>
        </r>
      </text>
    </comment>
    <comment ref="B66" authorId="0" shapeId="0" xr:uid="{00000000-0006-0000-0000-00009F000000}">
      <text>
        <r>
          <rPr>
            <b/>
            <sz val="9"/>
            <color indexed="81"/>
            <rFont val="Tahoma"/>
            <family val="2"/>
          </rPr>
          <t>A minimum inspection fee is applicable when inspection service must be rendered for work on sanitary sewer feature (e.g. lateral connection, etc.) that impact Service assets or the quantities are less than 100 feet.</t>
        </r>
      </text>
    </comment>
    <comment ref="L66" authorId="0" shapeId="0" xr:uid="{00000000-0006-0000-0000-0000A0000000}">
      <text>
        <r>
          <rPr>
            <b/>
            <sz val="9"/>
            <color indexed="81"/>
            <rFont val="Tahoma"/>
            <family val="2"/>
          </rPr>
          <t>This result either YES or NO based on the quantities.  Manual override of YES if quantities are zero, but there still needs to be inspection services rendered (e.g.. A lateral connection  to a sewer main).</t>
        </r>
      </text>
    </comment>
    <comment ref="B68" authorId="0" shapeId="0" xr:uid="{00000000-0006-0000-0000-0000A1000000}">
      <text>
        <r>
          <rPr>
            <b/>
            <sz val="9"/>
            <color indexed="81"/>
            <rFont val="Tahoma"/>
            <family val="2"/>
          </rPr>
          <t>Minimum as-built fees will apply when quantities of combined water and sanitary sewer assets total less than $1000.  Minimum as-built fees to not apply for a plan revision if the original plan has not already been as-built by the Service Authority.</t>
        </r>
      </text>
    </comment>
    <comment ref="L68" authorId="0" shapeId="0" xr:uid="{00000000-0006-0000-0000-0000A2000000}">
      <text>
        <r>
          <rPr>
            <b/>
            <sz val="9"/>
            <color indexed="81"/>
            <rFont val="Tahoma"/>
            <family val="2"/>
          </rPr>
          <t>This is manually selected. If the combined length of water and sanitary result in a fee less than $1000, minimum as-built fees apply.</t>
        </r>
      </text>
    </comment>
    <comment ref="C70" authorId="0" shapeId="0" xr:uid="{00000000-0006-0000-0000-0000A3000000}">
      <text>
        <r>
          <rPr>
            <b/>
            <sz val="9"/>
            <color indexed="81"/>
            <rFont val="Tahoma"/>
            <family val="2"/>
          </rPr>
          <t>If applicable, insert notes in this field.</t>
        </r>
      </text>
    </comment>
    <comment ref="O73" authorId="0" shapeId="0" xr:uid="{00000000-0006-0000-0000-0000A4000000}">
      <text>
        <r>
          <rPr>
            <b/>
            <sz val="9"/>
            <color indexed="81"/>
            <rFont val="Tahoma"/>
            <family val="2"/>
          </rPr>
          <t>Requires manual input.</t>
        </r>
      </text>
    </comment>
    <comment ref="Q73" authorId="0" shapeId="0" xr:uid="{00000000-0006-0000-0000-0000A5000000}">
      <text>
        <r>
          <rPr>
            <b/>
            <sz val="9"/>
            <color indexed="81"/>
            <rFont val="Tahoma"/>
            <family val="2"/>
          </rPr>
          <t>Requires manual input.</t>
        </r>
      </text>
    </comment>
    <comment ref="T73" authorId="0" shapeId="0" xr:uid="{00000000-0006-0000-0000-0000A6000000}">
      <text>
        <r>
          <rPr>
            <b/>
            <sz val="9"/>
            <color indexed="81"/>
            <rFont val="Tahoma"/>
            <family val="2"/>
          </rPr>
          <t>Requires manual input.</t>
        </r>
      </text>
    </comment>
    <comment ref="W73" authorId="0" shapeId="0" xr:uid="{00000000-0006-0000-0000-0000A7000000}">
      <text>
        <r>
          <rPr>
            <b/>
            <sz val="9"/>
            <color indexed="81"/>
            <rFont val="Tahoma"/>
            <family val="2"/>
          </rPr>
          <t>Selectable account type.</t>
        </r>
      </text>
    </comment>
    <comment ref="Y73" authorId="0" shapeId="0" xr:uid="{00000000-0006-0000-0000-0000A8000000}">
      <text>
        <r>
          <rPr>
            <b/>
            <sz val="9"/>
            <color indexed="81"/>
            <rFont val="Tahoma"/>
            <family val="2"/>
          </rPr>
          <t>Requires manual input.</t>
        </r>
      </text>
    </comment>
    <comment ref="AA73" authorId="0" shapeId="0" xr:uid="{00000000-0006-0000-0000-0000A9000000}">
      <text>
        <r>
          <rPr>
            <b/>
            <sz val="9"/>
            <color indexed="81"/>
            <rFont val="Tahoma"/>
            <family val="2"/>
          </rPr>
          <t>Requires manual input based on the meter sizing calculations.</t>
        </r>
      </text>
    </comment>
    <comment ref="AB73" authorId="0" shapeId="0" xr:uid="{00000000-0006-0000-0000-0000AA000000}">
      <text>
        <r>
          <rPr>
            <b/>
            <sz val="9"/>
            <color indexed="81"/>
            <rFont val="Tahoma"/>
            <family val="2"/>
          </rPr>
          <t>This field automatically calculates based on the meter size; however, it can be manually overwritten</t>
        </r>
      </text>
    </comment>
    <comment ref="AC73" authorId="0" shapeId="0" xr:uid="{00000000-0006-0000-0000-0000AB000000}">
      <text>
        <r>
          <rPr>
            <b/>
            <sz val="9"/>
            <color indexed="81"/>
            <rFont val="Tahoma"/>
            <family val="2"/>
          </rPr>
          <t>This field automatically calculates based on the Peak Demand (gpm).</t>
        </r>
      </text>
    </comment>
    <comment ref="AD73" authorId="0" shapeId="0" xr:uid="{00000000-0006-0000-0000-0000AC000000}">
      <text>
        <r>
          <rPr>
            <b/>
            <sz val="9"/>
            <color indexed="81"/>
            <rFont val="Tahoma"/>
            <family val="2"/>
          </rPr>
          <t>This field automatically calculates based on the account type and meter size.</t>
        </r>
      </text>
    </comment>
    <comment ref="AF73" authorId="0" shapeId="0" xr:uid="{00000000-0006-0000-0000-0000AD000000}">
      <text>
        <r>
          <rPr>
            <b/>
            <sz val="9"/>
            <color indexed="81"/>
            <rFont val="Tahoma"/>
            <family val="2"/>
          </rPr>
          <t>This field automatically calculates, but requires the number of ERU units and the meter size to trigger.
------------------------------
This is not a quote. Supplemental fees (e.g. meter fee, inspection fee, installation fee, etc.) are not included in the estimate.</t>
        </r>
      </text>
    </comment>
    <comment ref="AH73" authorId="0" shapeId="0" xr:uid="{BB59F32F-308F-480A-8B5E-4573B7830696}">
      <text>
        <r>
          <rPr>
            <b/>
            <sz val="9"/>
            <color indexed="81"/>
            <rFont val="Tahoma"/>
            <family val="2"/>
          </rPr>
          <t>This field automatically calculates, but requires the number of ERU units and the meter size to trigger.
------------------------------
This is not a quote. Supplemental fees (e.g. meter fee, inspection fee, installation fee, etc.) are not included in the estimate.</t>
        </r>
      </text>
    </comment>
    <comment ref="AJ73" authorId="0" shapeId="0" xr:uid="{4FE9B0C2-1634-422E-817F-E21583157250}">
      <text>
        <r>
          <rPr>
            <b/>
            <sz val="9"/>
            <color indexed="81"/>
            <rFont val="Tahoma"/>
            <family val="2"/>
          </rPr>
          <t>This field automatically calculates, but requires the number of ERU units and the meter size to trigger.
------------------------------
This is not a quote. Supplemental fees (e.g. meter fee, inspection fee, installation fee, etc.) are not included in the estimate.</t>
        </r>
      </text>
    </comment>
    <comment ref="K82" authorId="0" shapeId="0" xr:uid="{00000000-0006-0000-0000-0000AE000000}">
      <text>
        <r>
          <rPr>
            <b/>
            <sz val="9"/>
            <color indexed="81"/>
            <rFont val="Tahoma"/>
            <family val="2"/>
          </rPr>
          <t>Selectable field</t>
        </r>
      </text>
    </comment>
    <comment ref="G83" authorId="0" shapeId="0" xr:uid="{00000000-0006-0000-0000-0000AF000000}">
      <text>
        <r>
          <rPr>
            <b/>
            <sz val="9"/>
            <color indexed="81"/>
            <rFont val="Tahoma"/>
            <family val="2"/>
          </rPr>
          <t>Selectable field.
The soil type class must first be selected to access available choices.</t>
        </r>
      </text>
    </comment>
    <comment ref="E84" authorId="0" shapeId="0" xr:uid="{00000000-0006-0000-0000-0000B0000000}">
      <text>
        <r>
          <rPr>
            <b/>
            <sz val="9"/>
            <color indexed="81"/>
            <rFont val="Tahoma"/>
            <family val="2"/>
          </rPr>
          <t>Selectable field based on EBAA Iron soil type class</t>
        </r>
      </text>
    </comment>
    <comment ref="K86" authorId="0" shapeId="0" xr:uid="{00000000-0006-0000-0000-0000B1000000}">
      <text>
        <r>
          <rPr>
            <b/>
            <sz val="9"/>
            <color indexed="81"/>
            <rFont val="Tahoma"/>
            <family val="2"/>
          </rPr>
          <t>Selectable field.</t>
        </r>
      </text>
    </comment>
    <comment ref="K88" authorId="0" shapeId="0" xr:uid="{00000000-0006-0000-0000-0000B2000000}">
      <text>
        <r>
          <rPr>
            <b/>
            <sz val="9"/>
            <color indexed="81"/>
            <rFont val="Tahoma"/>
            <family val="2"/>
          </rPr>
          <t>Selectable field.</t>
        </r>
      </text>
    </comment>
    <comment ref="K90" authorId="0" shapeId="0" xr:uid="{00000000-0006-0000-0000-0000B3000000}">
      <text>
        <r>
          <rPr>
            <b/>
            <sz val="9"/>
            <color indexed="81"/>
            <rFont val="Tahoma"/>
            <family val="2"/>
          </rPr>
          <t>Selectable field.</t>
        </r>
      </text>
    </comment>
    <comment ref="O93" authorId="0" shapeId="0" xr:uid="{00000000-0006-0000-0000-0000B4000000}">
      <text>
        <r>
          <rPr>
            <b/>
            <sz val="9"/>
            <color indexed="81"/>
            <rFont val="Tahoma"/>
            <family val="2"/>
          </rPr>
          <t>Requires manual input.</t>
        </r>
      </text>
    </comment>
    <comment ref="Q93" authorId="0" shapeId="0" xr:uid="{00000000-0006-0000-0000-0000B5000000}">
      <text>
        <r>
          <rPr>
            <b/>
            <sz val="9"/>
            <color indexed="81"/>
            <rFont val="Tahoma"/>
            <family val="2"/>
          </rPr>
          <t>Requires manual input.</t>
        </r>
      </text>
    </comment>
    <comment ref="T93" authorId="0" shapeId="0" xr:uid="{00000000-0006-0000-0000-0000B6000000}">
      <text>
        <r>
          <rPr>
            <b/>
            <sz val="9"/>
            <color indexed="81"/>
            <rFont val="Tahoma"/>
            <family val="2"/>
          </rPr>
          <t>Requires manual input.</t>
        </r>
      </text>
    </comment>
    <comment ref="W93" authorId="0" shapeId="0" xr:uid="{00000000-0006-0000-0000-0000B7000000}">
      <text>
        <r>
          <rPr>
            <b/>
            <sz val="9"/>
            <color indexed="81"/>
            <rFont val="Tahoma"/>
            <family val="2"/>
          </rPr>
          <t>Selectable account type.</t>
        </r>
      </text>
    </comment>
    <comment ref="Y93" authorId="0" shapeId="0" xr:uid="{00000000-0006-0000-0000-0000B8000000}">
      <text>
        <r>
          <rPr>
            <b/>
            <sz val="9"/>
            <color indexed="81"/>
            <rFont val="Tahoma"/>
            <family val="2"/>
          </rPr>
          <t>Requires manual input.</t>
        </r>
      </text>
    </comment>
    <comment ref="AA93" authorId="0" shapeId="0" xr:uid="{00000000-0006-0000-0000-0000B9000000}">
      <text>
        <r>
          <rPr>
            <b/>
            <sz val="9"/>
            <color indexed="81"/>
            <rFont val="Tahoma"/>
            <family val="2"/>
          </rPr>
          <t>Requires manual input based on the meter sizing calculations.</t>
        </r>
      </text>
    </comment>
    <comment ref="AB93" authorId="0" shapeId="0" xr:uid="{00000000-0006-0000-0000-0000BA000000}">
      <text>
        <r>
          <rPr>
            <b/>
            <sz val="9"/>
            <color indexed="81"/>
            <rFont val="Tahoma"/>
            <family val="2"/>
          </rPr>
          <t>This field automatically calculates based on the meter size; however, it can be manually overwritten</t>
        </r>
      </text>
    </comment>
    <comment ref="AC93" authorId="0" shapeId="0" xr:uid="{00000000-0006-0000-0000-0000BB000000}">
      <text>
        <r>
          <rPr>
            <b/>
            <sz val="9"/>
            <color indexed="81"/>
            <rFont val="Tahoma"/>
            <family val="2"/>
          </rPr>
          <t>This field automatically calculates based on the Peak Demand (gpm).</t>
        </r>
      </text>
    </comment>
    <comment ref="AD93" authorId="0" shapeId="0" xr:uid="{00000000-0006-0000-0000-0000BC000000}">
      <text>
        <r>
          <rPr>
            <b/>
            <sz val="9"/>
            <color indexed="81"/>
            <rFont val="Tahoma"/>
            <family val="2"/>
          </rPr>
          <t>This field automatically calculates based on the account type and meter size.</t>
        </r>
      </text>
    </comment>
    <comment ref="AJ93" authorId="0" shapeId="0" xr:uid="{00000000-0006-0000-0000-0000BD000000}">
      <text>
        <r>
          <rPr>
            <b/>
            <sz val="9"/>
            <color indexed="81"/>
            <rFont val="Tahoma"/>
            <family val="2"/>
          </rPr>
          <t>This field automatically calculates, but requires the number of ERU units and the meter size to trigger.
------------------------------
This is not a quote. Supplemental fees (e.g. meter fee, inspection fee, installation fee, etc.) are not included in the estimate.</t>
        </r>
      </text>
    </comment>
    <comment ref="AL93" authorId="0" shapeId="0" xr:uid="{AEECBAAD-95F8-416A-AC41-B4403C76D9C7}">
      <text>
        <r>
          <rPr>
            <b/>
            <sz val="9"/>
            <color indexed="81"/>
            <rFont val="Tahoma"/>
            <family val="2"/>
          </rPr>
          <t>This field automatically calculates, but requires the number of ERU units and the meter size to trigger.
------------------------------
This is not a quote. Supplemental fees (e.g. meter fee, inspection fee, installation fee, etc.) are not included in the estimate.</t>
        </r>
      </text>
    </comment>
    <comment ref="AN93" authorId="0" shapeId="0" xr:uid="{8E19385F-6353-4C62-93F3-CBD06BD96C32}">
      <text>
        <r>
          <rPr>
            <b/>
            <sz val="9"/>
            <color indexed="81"/>
            <rFont val="Tahoma"/>
            <family val="2"/>
          </rPr>
          <t>This field automatically calculates, but requires the number of ERU units and the meter size to trigger.
------------------------------
This is not a quote. Supplemental fees (e.g. meter fee, inspection fee, installation fee, etc.) are not included in the estimate.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ekovalchuk</author>
  </authors>
  <commentList>
    <comment ref="AF55" authorId="0" shapeId="0" xr:uid="{00000000-0006-0000-0400-000001000000}">
      <text>
        <r>
          <rPr>
            <sz val="8"/>
            <color indexed="81"/>
            <rFont val="Tahoma"/>
            <family val="2"/>
          </rPr>
          <t>Continuous flow * 60 minutes * 12 hours a day * 30 days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ekovalchuk</author>
  </authors>
  <commentList>
    <comment ref="T127" authorId="0" shapeId="0" xr:uid="{00000000-0006-0000-0500-000001000000}">
      <text>
        <r>
          <rPr>
            <sz val="8"/>
            <color indexed="81"/>
            <rFont val="Tahoma"/>
            <family val="2"/>
          </rPr>
          <t>Continuous flow * 60 minutes * 12 hours a day * 30 days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ekovalchuk</author>
  </authors>
  <commentList>
    <comment ref="K22" authorId="0" shapeId="0" xr:uid="{00000000-0006-0000-0600-000001000000}">
      <text>
        <r>
          <rPr>
            <sz val="8"/>
            <color indexed="81"/>
            <rFont val="Tahoma"/>
            <family val="2"/>
          </rPr>
          <t>Continuous flow * 60 minutes * 12 hours a day * 30 days</t>
        </r>
      </text>
    </comment>
    <comment ref="J32" authorId="0" shapeId="0" xr:uid="{00000000-0006-0000-0600-000002000000}">
      <text>
        <r>
          <rPr>
            <sz val="8"/>
            <color indexed="81"/>
            <rFont val="Tahoma"/>
            <family val="2"/>
          </rPr>
          <t>Continuous flow * 60 minutes * 12 hours a day * 30 days</t>
        </r>
      </text>
    </comment>
  </commentList>
</comments>
</file>

<file path=xl/sharedStrings.xml><?xml version="1.0" encoding="utf-8"?>
<sst xmlns="http://schemas.openxmlformats.org/spreadsheetml/2006/main" count="909" uniqueCount="479">
  <si>
    <t>SEVICE LEVEL</t>
  </si>
  <si>
    <t>HIGH HGL</t>
  </si>
  <si>
    <t>LOW HGL</t>
  </si>
  <si>
    <t>DumfriesTriangle</t>
  </si>
  <si>
    <t>Haymarket</t>
  </si>
  <si>
    <t>Hoadly</t>
  </si>
  <si>
    <t>LakeRidge</t>
  </si>
  <si>
    <t>ManassasSouthside</t>
  </si>
  <si>
    <t>Montclair</t>
  </si>
  <si>
    <t>WoodbridgeLow</t>
  </si>
  <si>
    <t>Pressure Zone:</t>
  </si>
  <si>
    <t>Lot# or Building ID</t>
  </si>
  <si>
    <t>Lowest Residual Pressure during a fire flow scenario:</t>
  </si>
  <si>
    <t>Available Fire Flow:</t>
  </si>
  <si>
    <t>Oak Ridge / Indpendent Hill</t>
  </si>
  <si>
    <t>Yorkshire</t>
  </si>
  <si>
    <t>Gainesville / Wellington</t>
  </si>
  <si>
    <t>Greater Manassas</t>
  </si>
  <si>
    <t>Low Hydraulic Grade Line</t>
  </si>
  <si>
    <t xml:space="preserve">High Hydraulic Grade Line </t>
  </si>
  <si>
    <t>psi</t>
  </si>
  <si>
    <t>feet</t>
  </si>
  <si>
    <t>Estimated High Pres.
 (psi)</t>
  </si>
  <si>
    <t>Pres. Red. Device Needed</t>
  </si>
  <si>
    <t>Sewer Shed:</t>
  </si>
  <si>
    <t>SEWER SHED</t>
  </si>
  <si>
    <t>Belmont Lift Station</t>
  </si>
  <si>
    <t>Broad Run</t>
  </si>
  <si>
    <t>Bull Run</t>
  </si>
  <si>
    <t>Cabin Branch Lift Station</t>
  </si>
  <si>
    <t>Deweys Branch Lift Station</t>
  </si>
  <si>
    <t>Dumfries Lift Station</t>
  </si>
  <si>
    <t>Flat Branch</t>
  </si>
  <si>
    <t>Featherstone Lift Station</t>
  </si>
  <si>
    <t>Godwin Drive Lift Station</t>
  </si>
  <si>
    <t>Harbor Station</t>
  </si>
  <si>
    <t>Holkums Branch</t>
  </si>
  <si>
    <t>Hoose Run Lift Station</t>
  </si>
  <si>
    <t>Little Bull Run</t>
  </si>
  <si>
    <t>Little Creek Lift Station</t>
  </si>
  <si>
    <t>Melrose Lift Station</t>
  </si>
  <si>
    <t>North Branch</t>
  </si>
  <si>
    <t>Neabsco Creek Lift Station</t>
  </si>
  <si>
    <t>Nokesville Sewershed</t>
  </si>
  <si>
    <t>Occoquan Creek Lift Station</t>
  </si>
  <si>
    <t>Occoquan Forest</t>
  </si>
  <si>
    <t>Occoquan STP Lift Station</t>
  </si>
  <si>
    <t>Occoquan Town Lift Station</t>
  </si>
  <si>
    <t>Piney Branch</t>
  </si>
  <si>
    <t>Powells Creek</t>
  </si>
  <si>
    <t>Purcesll Branch</t>
  </si>
  <si>
    <t>Russia Branch Lift Station</t>
  </si>
  <si>
    <t>Airport Lift Station</t>
  </si>
  <si>
    <t>Youngs Branch</t>
  </si>
  <si>
    <t>Yorkshire Lift Station</t>
  </si>
  <si>
    <t>LOCAL FACILITIES CHARGE</t>
  </si>
  <si>
    <t>Groveton Area</t>
  </si>
  <si>
    <t>Upper Powells Creek</t>
  </si>
  <si>
    <t>MASTER PLAN UTILITY ADJUSTMENT</t>
  </si>
  <si>
    <t>Yes</t>
  </si>
  <si>
    <t>No</t>
  </si>
  <si>
    <t>High Hydraulic Grade Line (ft):</t>
  </si>
  <si>
    <t>Low Hydraulic Grade Line (ft):</t>
  </si>
  <si>
    <t>Local Facility Charge:</t>
  </si>
  <si>
    <t>HYDRAULIC SUMMARY</t>
  </si>
  <si>
    <t>gpm</t>
  </si>
  <si>
    <t>FIRE FLOW SUMMARY</t>
  </si>
  <si>
    <t>Not Applicable</t>
  </si>
  <si>
    <t>The hydraulic design and all finished floor elevations comply with the applicable plumbing code for pressure without a water booster pump or pressure reducing device.</t>
  </si>
  <si>
    <t>The use of private water booster pumps and/or pressure reducing devices are required for the following lots to comply with applicable plumbing code for pressure.</t>
  </si>
  <si>
    <t>High Hydraulic 
Grade Line 
(ft)</t>
  </si>
  <si>
    <t>Low Hydraulic Grade Line
 (ft)</t>
  </si>
  <si>
    <t>Estimated Low Pres. 
(psi)</t>
  </si>
  <si>
    <t>Engineering Firm:</t>
  </si>
  <si>
    <t>Size:</t>
  </si>
  <si>
    <t>Material:</t>
  </si>
  <si>
    <t>WATER MAIN SIZES</t>
  </si>
  <si>
    <t>4-inch</t>
  </si>
  <si>
    <t>6-inch</t>
  </si>
  <si>
    <t>8-inch</t>
  </si>
  <si>
    <t xml:space="preserve">12-inch </t>
  </si>
  <si>
    <t>16-inch</t>
  </si>
  <si>
    <t>18-inch</t>
  </si>
  <si>
    <t>WATER MAIN MATERIALS</t>
  </si>
  <si>
    <t>DIP</t>
  </si>
  <si>
    <t>C-900</t>
  </si>
  <si>
    <t>10-inch</t>
  </si>
  <si>
    <t>12-inch</t>
  </si>
  <si>
    <t>24-inch</t>
  </si>
  <si>
    <t>Each</t>
  </si>
  <si>
    <t>Length:</t>
  </si>
  <si>
    <t>ASSET TYPE</t>
  </si>
  <si>
    <t>1-inch</t>
  </si>
  <si>
    <t>1.5-inch</t>
  </si>
  <si>
    <t>2-inch</t>
  </si>
  <si>
    <t>2.5-inch</t>
  </si>
  <si>
    <t>3-inch</t>
  </si>
  <si>
    <t>3.5-inch</t>
  </si>
  <si>
    <t xml:space="preserve">8-inch </t>
  </si>
  <si>
    <t>14-inch</t>
  </si>
  <si>
    <t>LOW PRESSURE FORCE MAIN</t>
  </si>
  <si>
    <t>PUMP STATION FORCE MAIN</t>
  </si>
  <si>
    <t>GRAVITY SANITARY SEWER MAIN SIZES</t>
  </si>
  <si>
    <t>WATER MAIN</t>
  </si>
  <si>
    <t>GRAVITY SANITARY SEWER MAIN</t>
  </si>
  <si>
    <t>GRAVITY SANITARY SEWER MAIN MATERIALS</t>
  </si>
  <si>
    <t>LOW PRESSURE FORCE MAIN SIZES</t>
  </si>
  <si>
    <t>LOW PRESSURE FORCE MAIN MATERIALS</t>
  </si>
  <si>
    <t>PUMP STATION FORCE MAIN SIZES</t>
  </si>
  <si>
    <t>PUMP STATION FORCE MAIN MATERIALS</t>
  </si>
  <si>
    <t>DIP - PRIVATE</t>
  </si>
  <si>
    <t>C-900 - PRIVATE</t>
  </si>
  <si>
    <t>SCH 40 PVC</t>
  </si>
  <si>
    <t>SCH 40 PVC - PRIVATE</t>
  </si>
  <si>
    <t>Total Number of Proposed Fire Hydrants:</t>
  </si>
  <si>
    <t>Total Number of Proposed Manholes:</t>
  </si>
  <si>
    <t>Total Number of</t>
  </si>
  <si>
    <t>5/8"x 3/4"</t>
  </si>
  <si>
    <t>1"</t>
  </si>
  <si>
    <t>RESIDENTIAL METERS</t>
  </si>
  <si>
    <t>Residential Meters to be Certified:</t>
  </si>
  <si>
    <t>TV SANITARY SEWER MAIN INPECTION</t>
  </si>
  <si>
    <t>WATER MAIN AS-BUILT</t>
  </si>
  <si>
    <t>SANITARY SEWER/FORCE MAIN AS-BUILT</t>
  </si>
  <si>
    <t>Total Project Quantities Proposed By This Plan</t>
  </si>
  <si>
    <t>Net Increase</t>
  </si>
  <si>
    <t>(INPUT)</t>
  </si>
  <si>
    <t xml:space="preserve">Waste (Gray) Water </t>
  </si>
  <si>
    <t>Sewer Only</t>
  </si>
  <si>
    <t>4-Inch</t>
  </si>
  <si>
    <t>3-Inch</t>
  </si>
  <si>
    <t>2-Inch</t>
  </si>
  <si>
    <t>Neptune (Krohne)</t>
  </si>
  <si>
    <t>Clean Process Water</t>
  </si>
  <si>
    <t>Neptune</t>
  </si>
  <si>
    <t>(Blank)</t>
  </si>
  <si>
    <t>Sub-meter</t>
  </si>
  <si>
    <t>Water Only</t>
  </si>
  <si>
    <t>Water &amp; Sewer</t>
  </si>
  <si>
    <t xml:space="preserve">Positive Displacement </t>
  </si>
  <si>
    <t>Positive Displacement</t>
  </si>
  <si>
    <t>1.5-Inch</t>
  </si>
  <si>
    <t>1-Inch</t>
  </si>
  <si>
    <t>5/8-Inch</t>
  </si>
  <si>
    <t>(Dollars)</t>
  </si>
  <si>
    <t>(gallons)</t>
  </si>
  <si>
    <t>(gpm)</t>
  </si>
  <si>
    <t>Axulliary Fees</t>
  </si>
  <si>
    <t>Min ERU allocated w/ Meter Size</t>
  </si>
  <si>
    <t>Max ERU the meter can pass</t>
  </si>
  <si>
    <t>Reasonable Max Discharge per month</t>
  </si>
  <si>
    <t xml:space="preserve">Continuous Flow </t>
  </si>
  <si>
    <r>
      <t xml:space="preserve">Maximum Flow for </t>
    </r>
    <r>
      <rPr>
        <u/>
        <sz val="11"/>
        <color theme="1"/>
        <rFont val="Calibri"/>
        <family val="2"/>
        <scheme val="minor"/>
      </rPr>
      <t>Meter Sizing</t>
    </r>
  </si>
  <si>
    <r>
      <t xml:space="preserve">Mininmum Flow for </t>
    </r>
    <r>
      <rPr>
        <u/>
        <sz val="11"/>
        <color theme="1"/>
        <rFont val="Calibri"/>
        <family val="2"/>
        <scheme val="minor"/>
      </rPr>
      <t>Meter Sizing</t>
    </r>
  </si>
  <si>
    <t>Minimum Flow</t>
  </si>
  <si>
    <t>Minimu Flow (Senstitivity)</t>
  </si>
  <si>
    <t>Minimum Range</t>
  </si>
  <si>
    <t>Manufacturer</t>
  </si>
  <si>
    <t>Discharge Type</t>
  </si>
  <si>
    <t>Account Type 4</t>
  </si>
  <si>
    <t>Account Type 3</t>
  </si>
  <si>
    <t>Account Type 2</t>
  </si>
  <si>
    <t>Account Type 1</t>
  </si>
  <si>
    <t>Meter Type</t>
  </si>
  <si>
    <t>Meter Size and Type</t>
  </si>
  <si>
    <t>AVAILABLE WATER METERS</t>
  </si>
  <si>
    <t xml:space="preserve"> Waterflux</t>
  </si>
  <si>
    <t>Account Types</t>
  </si>
  <si>
    <t>IF(AND(I22=$Q$54),VLOOKUP(I22,$Q$54:$AM$59,18,FALSE),IF(AND(I22=$Q$55),VLOOKUP(I22,$Q$54:$AM$59,18,FALSE),IF(AND(I22=$Q$56),VLOOKUP(I22,$Q$54:$AM$59,18,FALSE),IF(AND(I22=$Q$57),VLOOKUP(I22,$Q$54:$AM$59,18,FALSE),IF(AND(I22=$Q$58),VLOOKUP(I22,$Q$54:$AM$59,18,FALSE),IF(AND(I22=$Q$59),VLOOKUP(I22,$Q$54:$AM$59,18,FALSE)))))))</t>
  </si>
  <si>
    <t>Meter Manufacturer</t>
  </si>
  <si>
    <t>Meter Size</t>
  </si>
  <si>
    <t>Account Type</t>
  </si>
  <si>
    <t>Meter Use</t>
  </si>
  <si>
    <t>Building
Address</t>
  </si>
  <si>
    <t>Building Identifier</t>
  </si>
  <si>
    <t>DATA CENTER METER SCHEDULE</t>
  </si>
  <si>
    <t>SAMPLE</t>
  </si>
  <si>
    <t>The logic in this meter table is limited to meter sizes no greater than 4"</t>
  </si>
  <si>
    <t>ERU for 3" meters must be manually inputted</t>
  </si>
  <si>
    <t>The minimum number of ERU unit will always deafult for 5/8", 1", 1.5" and 2" meters for Water &amp; Sewer and Water Only Accounts.  Additional amount of capacity must be manually inputted.</t>
  </si>
  <si>
    <t>Waste (Gray) Water discharge type will always use a "Waterflux" meter</t>
  </si>
  <si>
    <t>Clean Process Water discharege type will always use a "Neptune (Krohne)" meter</t>
  </si>
  <si>
    <r>
      <t xml:space="preserve">The logic in this meter schedule cannot accept an input for sewer only meter that is </t>
    </r>
    <r>
      <rPr>
        <u/>
        <sz val="11"/>
        <color theme="1"/>
        <rFont val="Calibri"/>
        <family val="2"/>
        <scheme val="minor"/>
      </rPr>
      <t>not</t>
    </r>
    <r>
      <rPr>
        <sz val="11"/>
        <color theme="1"/>
        <rFont val="Calibri"/>
        <family val="2"/>
        <scheme val="minor"/>
      </rPr>
      <t xml:space="preserve"> Electro Magnetic or smaller than 2".  Manual override is required those inputs.</t>
    </r>
  </si>
  <si>
    <t>The samllest Electro Magnetic meter is 2"</t>
  </si>
  <si>
    <t>The only choices for a "Electro Magnetic meter are Neptune (Krohne) and Waterflux</t>
  </si>
  <si>
    <t>Sewer only meters will always be a "Elector Magnetic" meter type</t>
  </si>
  <si>
    <t>Assumptions</t>
  </si>
  <si>
    <r>
      <t xml:space="preserve">Estimated Sewer Only Tap Fees for </t>
    </r>
    <r>
      <rPr>
        <b/>
        <u/>
        <sz val="11"/>
        <color theme="1"/>
        <rFont val="Calibri"/>
        <family val="2"/>
        <scheme val="minor"/>
      </rPr>
      <t>Multi-Family</t>
    </r>
    <r>
      <rPr>
        <u/>
        <sz val="11"/>
        <color theme="1"/>
        <rFont val="Calibri"/>
        <family val="2"/>
        <scheme val="minor"/>
      </rPr>
      <t xml:space="preserve"> </t>
    </r>
    <r>
      <rPr>
        <b/>
        <u/>
        <sz val="11"/>
        <color theme="1"/>
        <rFont val="Calibri"/>
        <family val="2"/>
        <scheme val="minor"/>
      </rPr>
      <t>Residential</t>
    </r>
  </si>
  <si>
    <r>
      <t xml:space="preserve">Estimated Water Tap Fees for </t>
    </r>
    <r>
      <rPr>
        <b/>
        <u/>
        <sz val="11"/>
        <color theme="1"/>
        <rFont val="Calibri"/>
        <family val="2"/>
        <scheme val="minor"/>
      </rPr>
      <t>Multi-Family Residential</t>
    </r>
  </si>
  <si>
    <r>
      <t xml:space="preserve">Estimated Sewer Only Tap Fees for </t>
    </r>
    <r>
      <rPr>
        <b/>
        <u/>
        <sz val="11"/>
        <color theme="1"/>
        <rFont val="Calibri"/>
        <family val="2"/>
        <scheme val="minor"/>
      </rPr>
      <t>Non-Residential</t>
    </r>
  </si>
  <si>
    <r>
      <t xml:space="preserve">Estimated Water Tap Fees for </t>
    </r>
    <r>
      <rPr>
        <b/>
        <u/>
        <sz val="11"/>
        <color theme="1"/>
        <rFont val="Calibri"/>
        <family val="2"/>
        <scheme val="minor"/>
      </rPr>
      <t>Non-Residential</t>
    </r>
  </si>
  <si>
    <t>Does estimate consumption equal or under allocated capacity</t>
  </si>
  <si>
    <t>ERU's to be certified based on reported consumption</t>
  </si>
  <si>
    <t>ERU's needed</t>
  </si>
  <si>
    <t>Rounded up</t>
  </si>
  <si>
    <t>Sewer Tap Fee Per ERU</t>
  </si>
  <si>
    <t>Water Tap Fee Per ERU</t>
  </si>
  <si>
    <t>SELECTED WATER METERS</t>
  </si>
  <si>
    <t>n/a</t>
  </si>
  <si>
    <t>3-Inch Compund Meter</t>
  </si>
  <si>
    <t>2-Inch Positive Displacement Meter</t>
  </si>
  <si>
    <t>1.5-Inch Positive Displacement Meter</t>
  </si>
  <si>
    <t>1-Inch Positive Displacement Meter</t>
  </si>
  <si>
    <t>5/8-Inch Positive Displacement Meter</t>
  </si>
  <si>
    <t>Sewer ERU fees</t>
  </si>
  <si>
    <t>Water ERU fees</t>
  </si>
  <si>
    <t>Non-Residential Demand (High) Curve</t>
  </si>
  <si>
    <t>Multi-Family Demand (Low) Curve</t>
  </si>
  <si>
    <t>COMBINED FIXTURE VALUE</t>
  </si>
  <si>
    <t>Estimated Tap Fee</t>
  </si>
  <si>
    <t>Required AWWA Meter Size</t>
  </si>
  <si>
    <t>Total estimated peak flow</t>
  </si>
  <si>
    <t>Pressure Adjustment Factor</t>
  </si>
  <si>
    <t>Demand (gpm) from AWWA Curve</t>
  </si>
  <si>
    <t>Combined Fixture Value</t>
  </si>
  <si>
    <t>Dental units</t>
  </si>
  <si>
    <t>Drinking fountains</t>
  </si>
  <si>
    <t>Bedpan washers</t>
  </si>
  <si>
    <t>Miscellaneous</t>
  </si>
  <si>
    <t>3/4 in.</t>
  </si>
  <si>
    <t>5/8 in.</t>
  </si>
  <si>
    <t>1/2 in.</t>
  </si>
  <si>
    <t>Hose Connections (with 50 ft of hose)</t>
  </si>
  <si>
    <t>Clothes Washer</t>
  </si>
  <si>
    <t>Bathtub</t>
  </si>
  <si>
    <t>Dishwasher</t>
  </si>
  <si>
    <t>Utility Sink</t>
  </si>
  <si>
    <t>Kitchen Sink</t>
  </si>
  <si>
    <t>Shower (single head)</t>
  </si>
  <si>
    <t>Bidet</t>
  </si>
  <si>
    <t>Urinal (wall or stall)</t>
  </si>
  <si>
    <t>Toilet (flush valve)</t>
  </si>
  <si>
    <t>Fixture Value</t>
  </si>
  <si>
    <t>Fixtures</t>
  </si>
  <si>
    <t>(at 60 psi)</t>
  </si>
  <si>
    <t>Fixture or Appliance</t>
  </si>
  <si>
    <t>Subtotal</t>
  </si>
  <si>
    <t xml:space="preserve">Number of </t>
  </si>
  <si>
    <t>Water and Sewer</t>
  </si>
  <si>
    <t>(Based on AWWA M22 Manual, Second Edition)</t>
  </si>
  <si>
    <t>3" Compound Meter</t>
  </si>
  <si>
    <t>2" Positive Displacement Meter</t>
  </si>
  <si>
    <t>1.5" Positive Displacement Meter</t>
  </si>
  <si>
    <t>1" Positive Displacement Meter</t>
  </si>
  <si>
    <t>5/8"x3/4" Positive Displacement Meter</t>
  </si>
  <si>
    <t>Factor</t>
  </si>
  <si>
    <t>Meter Discharge</t>
  </si>
  <si>
    <t>Pressure Adjustment</t>
  </si>
  <si>
    <t>Working Pressure at</t>
  </si>
  <si>
    <t>Project Location:</t>
  </si>
  <si>
    <t>Prince William County Plan Number:</t>
  </si>
  <si>
    <t>PROJECT METRICS</t>
  </si>
  <si>
    <t>Total Length</t>
  </si>
  <si>
    <t>Total Number of 4-inch or 6-inch proposed valves:</t>
  </si>
  <si>
    <t>Total Number of 8-inch or 12-inch proposed valves:</t>
  </si>
  <si>
    <t>Total Number of 16-inch or 24-inch proposed valves:</t>
  </si>
  <si>
    <t>ǂEstimated highest static pressure at the finished floor elevation</t>
  </si>
  <si>
    <t>ǂEstimated lowest static pressure at the finished floor elevation</t>
  </si>
  <si>
    <r>
      <rPr>
        <b/>
        <sz val="12"/>
        <color theme="1"/>
        <rFont val="Times New Roman"/>
        <family val="1"/>
      </rPr>
      <t>International Residential Code  P2903.3</t>
    </r>
    <r>
      <rPr>
        <sz val="12"/>
        <color theme="1"/>
        <rFont val="Times New Roman"/>
        <family val="1"/>
      </rPr>
      <t xml:space="preserve"> Minimum static pressure (as determined by the local water authority) at the building entrance for either public or private water service shall be 40 psi (276 kPa).</t>
    </r>
  </si>
  <si>
    <r>
      <rPr>
        <b/>
        <sz val="12"/>
        <color theme="1"/>
        <rFont val="Times New Roman"/>
        <family val="1"/>
      </rPr>
      <t>International Residential Code P2903.3.1</t>
    </r>
    <r>
      <rPr>
        <sz val="12"/>
        <color theme="1"/>
        <rFont val="Times New Roman"/>
        <family val="1"/>
      </rPr>
      <t xml:space="preserve"> Maximum pressure. Maximum static pressure shall be 80 psi (551 kPa). When main pressure exceeds 80 psi (551 kPa), an approved pressure-reducing valve conforming to ASSE 1003 shall be installed on the domestic water branch main or riser at the connection to the water-service pipe. </t>
    </r>
  </si>
  <si>
    <t>Private Water Booster P. Needed</t>
  </si>
  <si>
    <t>GENERAL NOTES</t>
  </si>
  <si>
    <t>Pipe Material:</t>
  </si>
  <si>
    <t>Soil Type:</t>
  </si>
  <si>
    <t>Trench Type:</t>
  </si>
  <si>
    <t>PIPE RESTRAINT MATERIALS</t>
  </si>
  <si>
    <t>DIP - POLYWRAP</t>
  </si>
  <si>
    <t>1.5 to 1</t>
  </si>
  <si>
    <t>SAFETY FACTOR</t>
  </si>
  <si>
    <t>2.0 to 1</t>
  </si>
  <si>
    <t>2.5 to 1</t>
  </si>
  <si>
    <t>3.0 to 1</t>
  </si>
  <si>
    <t>TRENCH TYPE</t>
  </si>
  <si>
    <t>Type 3</t>
  </si>
  <si>
    <t>Type 4</t>
  </si>
  <si>
    <t>Type 5</t>
  </si>
  <si>
    <t>TEST PRESSURE</t>
  </si>
  <si>
    <t>Soil Type</t>
  </si>
  <si>
    <t xml:space="preserve">GW - Well-graded gravels and gravel-sand mixtures, little or no fines </t>
  </si>
  <si>
    <t xml:space="preserve">GP - Poorly graded gravels and gravel-sand mixtures, little or no fines </t>
  </si>
  <si>
    <t xml:space="preserve">SP - Poorly graded sands and gravelly sands, little or no fines </t>
  </si>
  <si>
    <t xml:space="preserve">CM -Silty gravels, gravel-sand-silt mixtures </t>
  </si>
  <si>
    <t xml:space="preserve">SM - Silty sands, sand silt mixtures </t>
  </si>
  <si>
    <t xml:space="preserve">GC - Clayey gravels, gravel-sand-clay mixtures </t>
  </si>
  <si>
    <t xml:space="preserve">SC - Clayey sands, sand-clay mixtures </t>
  </si>
  <si>
    <t xml:space="preserve">CL - Inorganic clays of low to medium plasticity, gravelly clays, sandy clays, lean clays (backfilled using native soil) </t>
  </si>
  <si>
    <t xml:space="preserve">SW - Well-graded sands and gravelly sands, little or no fines </t>
  </si>
  <si>
    <t xml:space="preserve">ML - Inorganic silts, very fine sands, rock flour, silty or clayey fine sands (backfilled using native soil) </t>
  </si>
  <si>
    <t xml:space="preserve">CL (granular) - Cl native soil backfilled with granular material </t>
  </si>
  <si>
    <t xml:space="preserve"> ML (granular) - ML native soil backfilled with granular material </t>
  </si>
  <si>
    <t>(Other)</t>
  </si>
  <si>
    <t>Coarse_Grained_Soils</t>
  </si>
  <si>
    <t>Fine_Grained_Soils</t>
  </si>
  <si>
    <t>(1.5 to 1 is typical)</t>
  </si>
  <si>
    <t xml:space="preserve">Test Pressure: </t>
  </si>
  <si>
    <t>(Type or Print)</t>
  </si>
  <si>
    <t xml:space="preserve">     </t>
  </si>
  <si>
    <t>METER SCHEDULES</t>
  </si>
  <si>
    <t xml:space="preserve">The profile shall call out the station restraint is to start and the station restraint is end for each fitting, </t>
  </si>
  <si>
    <t>reducer, and dead end.</t>
  </si>
  <si>
    <t>Feet</t>
  </si>
  <si>
    <t xml:space="preserve">WATER MAIN INSPECTION </t>
  </si>
  <si>
    <t>NON-RESIDENTIAL METER SCHEDULE</t>
  </si>
  <si>
    <t>MULTI-DWELLING  METER SCHEDULE</t>
  </si>
  <si>
    <t>Number of Dwelling Units</t>
  </si>
  <si>
    <t>Building Identifier:</t>
  </si>
  <si>
    <t>Maximum static water pressure at the meter location:</t>
  </si>
  <si>
    <t>Notes:</t>
  </si>
  <si>
    <t>SHEET</t>
  </si>
  <si>
    <t>OF</t>
  </si>
  <si>
    <t>Pipe Quantity Summary</t>
  </si>
  <si>
    <t>(Obtained from hydraulic study at the meter location)</t>
  </si>
  <si>
    <t>Data Center Account Types</t>
  </si>
  <si>
    <t>The number of ERU's for a multi-family building is 80% of the total number of dwelling units associated with the meter and is rounded up to the next full unit.</t>
  </si>
  <si>
    <t>Contact PWCSA</t>
  </si>
  <si>
    <t>A fixture unit list and meter sizing calculations shall be provided in the plan set for each proposed meter in accordance with the current AWWA M22 standard.</t>
  </si>
  <si>
    <t>Water &amp; Sanitary Sewer Information Sheet</t>
  </si>
  <si>
    <t>NOTES:</t>
  </si>
  <si>
    <t>Toilet (tank)</t>
  </si>
  <si>
    <t>Urinal (flush valve)</t>
  </si>
  <si>
    <t>Sink / Faucet (Lavatory)</t>
  </si>
  <si>
    <t xml:space="preserve">Low pressure sewer force main systems are subject to the review and requirements of the Virginia Department of Environmental Quality.  </t>
  </si>
  <si>
    <t>Adjusted demand (gpm)</t>
  </si>
  <si>
    <t>Irrigation Demand (gpm) that will occur simultaneously with normal water use</t>
  </si>
  <si>
    <t>Water demand for equipment will occur simultaneously with normal water use</t>
  </si>
  <si>
    <t>Safety Factor:</t>
  </si>
  <si>
    <t xml:space="preserve">For meters 2-inch and larger the maximum month water consumption shall be reported.  The purchased number of ERU's shall be based on the estimated maximum month consumption, but shall not be less than the allocated number of ERUs </t>
  </si>
  <si>
    <t>For sewer only meters and 2-inch meters and larger, the purchased number of ERU's shall be based on the estimated maximum month consumption, but shall not be less than the allocated number of ERUs associated with the meter size.</t>
  </si>
  <si>
    <t>Total Number of Proposed Residential Meter Crocks to be Installed:</t>
  </si>
  <si>
    <t>SANITARY SEWER / FORCE MAIN INSP.</t>
  </si>
  <si>
    <t>PIPE TOTALS FOR FEE CALCULATIONS</t>
  </si>
  <si>
    <t xml:space="preserve">         AWWA WATER DEMAND ESTIMATE AND METER SIZING USING FIXTURE VALUES</t>
  </si>
  <si>
    <t xml:space="preserve">       DELIVERY PRESSURE SUMMARY</t>
  </si>
  <si>
    <t xml:space="preserve">       GENERAL PLAN INFORMATION</t>
  </si>
  <si>
    <t xml:space="preserve">      SERVICE AREA INFORMATION</t>
  </si>
  <si>
    <t xml:space="preserve">            THRUST RESTRAINT ASSUMPTIONS FOR CALCULATIONS</t>
  </si>
  <si>
    <t xml:space="preserve">Note: The professional engineer is responsible to account for the effects of friction loss on the delivery pressure at the finished </t>
  </si>
  <si>
    <t>size the private service lines when delivery pressures are 45 psi or less and the service line is in excess of 70 feet.</t>
  </si>
  <si>
    <t>The developer is responsible for all costs associated with  damages to or relocation of water mains, sanitary sewer mains, force mains or service lines caused by the construction of this project.</t>
  </si>
  <si>
    <t>Lowest Finished Floor Elevation proposed within the development</t>
  </si>
  <si>
    <t>Highest Finished Floor Elevation proposed within the development</t>
  </si>
  <si>
    <t>Signature:</t>
  </si>
  <si>
    <t>The undersigned Engineer and /or firm, on behalf of itself and its successors, does hereby assume full</t>
  </si>
  <si>
    <t xml:space="preserve">          DESIGNATION OF THE RESPONSIBLE PARTY &amp; AS-BUILT RELEASE OF PLANS</t>
  </si>
  <si>
    <t xml:space="preserve">liability and responsibility for the accuracy of the calculations, selections made, or information presented </t>
  </si>
  <si>
    <t>Elev. @ Finished Floor</t>
  </si>
  <si>
    <t>Low Demand (e.g. Multi-Family Residential)</t>
  </si>
  <si>
    <t>High Demand (e.g. Non-Residential)</t>
  </si>
  <si>
    <t>Minimum water main inspection fee applies for water quantities less than 100 feet:</t>
  </si>
  <si>
    <t>Minimum sanitary sewer / force main inspection fee applies for quantities less than 100 linear feet:</t>
  </si>
  <si>
    <t>Minimum as-built fee applies when total as-built cost are less than $1000.00:</t>
  </si>
  <si>
    <t>Catharpin Creek</t>
  </si>
  <si>
    <t>Quantities Previously Approved &amp; Permitted by Plan #</t>
  </si>
  <si>
    <t>Information above is provided from the hydraulic model with applied maximum day and fire flow water demands.</t>
  </si>
  <si>
    <t>Information above is provided from the hydraulic model with applied maximum day water demands.</t>
  </si>
  <si>
    <r>
      <rPr>
        <b/>
        <vertAlign val="superscript"/>
        <sz val="11"/>
        <color theme="1"/>
        <rFont val="Times New Roman"/>
        <family val="1"/>
      </rPr>
      <t>1</t>
    </r>
    <r>
      <rPr>
        <b/>
        <sz val="11"/>
        <color theme="1"/>
        <rFont val="Times New Roman"/>
        <family val="1"/>
      </rPr>
      <t>Peak Demand (GPM)</t>
    </r>
  </si>
  <si>
    <r>
      <rPr>
        <b/>
        <vertAlign val="superscript"/>
        <sz val="12"/>
        <color theme="1"/>
        <rFont val="Times New Roman"/>
        <family val="1"/>
      </rPr>
      <t>2&amp;3</t>
    </r>
    <r>
      <rPr>
        <b/>
        <sz val="12"/>
        <color theme="1"/>
        <rFont val="Times New Roman"/>
        <family val="1"/>
      </rPr>
      <t xml:space="preserve">ERU </t>
    </r>
    <r>
      <rPr>
        <b/>
        <sz val="9"/>
        <color theme="1"/>
        <rFont val="Times New Roman"/>
        <family val="1"/>
      </rPr>
      <t>Purchase</t>
    </r>
  </si>
  <si>
    <r>
      <rPr>
        <b/>
        <vertAlign val="superscript"/>
        <sz val="11"/>
        <color theme="1"/>
        <rFont val="Times New Roman"/>
        <family val="1"/>
      </rPr>
      <t>2</t>
    </r>
    <r>
      <rPr>
        <b/>
        <sz val="11"/>
        <color theme="1"/>
        <rFont val="Times New Roman"/>
        <family val="1"/>
      </rPr>
      <t>Peak Demand (GPM)</t>
    </r>
  </si>
  <si>
    <r>
      <rPr>
        <b/>
        <vertAlign val="superscript"/>
        <sz val="12"/>
        <color theme="1"/>
        <rFont val="Times New Roman"/>
        <family val="1"/>
      </rPr>
      <t>3</t>
    </r>
    <r>
      <rPr>
        <b/>
        <sz val="12"/>
        <color theme="1"/>
        <rFont val="Times New Roman"/>
        <family val="1"/>
      </rPr>
      <t xml:space="preserve">ERU </t>
    </r>
    <r>
      <rPr>
        <b/>
        <sz val="9"/>
        <color theme="1"/>
        <rFont val="Times New Roman"/>
        <family val="1"/>
      </rPr>
      <t>Purchase</t>
    </r>
  </si>
  <si>
    <t>Optiflux</t>
  </si>
  <si>
    <t>Minimum</t>
  </si>
  <si>
    <r>
      <t>Min (m</t>
    </r>
    <r>
      <rPr>
        <vertAlign val="superscript"/>
        <sz val="11"/>
        <color theme="1"/>
        <rFont val="Calibri"/>
        <family val="2"/>
        <scheme val="minor"/>
      </rPr>
      <t>3</t>
    </r>
    <r>
      <rPr>
        <sz val="11"/>
        <color theme="1"/>
        <rFont val="Calibri"/>
        <family val="2"/>
        <scheme val="minor"/>
      </rPr>
      <t>/h)</t>
    </r>
  </si>
  <si>
    <r>
      <t>Max (m</t>
    </r>
    <r>
      <rPr>
        <vertAlign val="superscript"/>
        <sz val="11"/>
        <color theme="1"/>
        <rFont val="Calibri"/>
        <family val="2"/>
        <scheme val="minor"/>
      </rPr>
      <t>3</t>
    </r>
    <r>
      <rPr>
        <sz val="11"/>
        <color theme="1"/>
        <rFont val="Calibri"/>
        <family val="2"/>
        <scheme val="minor"/>
      </rPr>
      <t>/h)</t>
    </r>
  </si>
  <si>
    <t>Min (gpm)</t>
  </si>
  <si>
    <t>Max (gpm)</t>
  </si>
  <si>
    <t>DN 65</t>
  </si>
  <si>
    <t>DN 80</t>
  </si>
  <si>
    <t>DN 100</t>
  </si>
  <si>
    <t>DN 200</t>
  </si>
  <si>
    <t>DN 250</t>
  </si>
  <si>
    <t>Optilflux 2000</t>
  </si>
  <si>
    <t>Elctromagnetic</t>
  </si>
  <si>
    <t>Cooling Water</t>
  </si>
  <si>
    <t>Engineer's Seal &amp; Signature</t>
  </si>
  <si>
    <t>Project Plan Name:</t>
  </si>
  <si>
    <t>Are residential fire sprinkler systems proposed?</t>
  </si>
  <si>
    <t>Multi-Dwelling Residential or Non-Residential</t>
  </si>
  <si>
    <t>"n" factor = 0.013</t>
  </si>
  <si>
    <t>PWCSA Use Only</t>
  </si>
  <si>
    <t>From MH</t>
  </si>
  <si>
    <t>To MH</t>
  </si>
  <si>
    <t>Units or Area</t>
  </si>
  <si>
    <t>Flow / Unit</t>
  </si>
  <si>
    <t>Avg. Flow Increament</t>
  </si>
  <si>
    <t>Avg. Flow Total</t>
  </si>
  <si>
    <t>Peak Factor</t>
  </si>
  <si>
    <t>Q Total GPD</t>
  </si>
  <si>
    <t>Pipe Size (in.)</t>
  </si>
  <si>
    <t>Slope (%)</t>
  </si>
  <si>
    <t>Actual Vel. (fps)</t>
  </si>
  <si>
    <t>Full Flow Vel. (fps)</t>
  </si>
  <si>
    <t>q/Q (%)</t>
  </si>
  <si>
    <t>d/D (%)</t>
  </si>
  <si>
    <t>Invert Upper</t>
  </si>
  <si>
    <t xml:space="preserve">Inver Lower </t>
  </si>
  <si>
    <t>Date Line Installed</t>
  </si>
  <si>
    <t>Date Line Passed Test</t>
  </si>
  <si>
    <t>MH ID</t>
  </si>
  <si>
    <t>Date MH passed Vac. Test</t>
  </si>
  <si>
    <t>SANITARY SEWER DESIGN &amp; TEST TABLE</t>
  </si>
  <si>
    <t>SANITARY LATERAL TABLE</t>
  </si>
  <si>
    <t>Sloper (% to %):</t>
  </si>
  <si>
    <t>Ejector Pump Required</t>
  </si>
  <si>
    <t>Lot Number</t>
  </si>
  <si>
    <t>Station</t>
  </si>
  <si>
    <t>Invert at Main</t>
  </si>
  <si>
    <t>Crown at Main</t>
  </si>
  <si>
    <t>Length of Lateral</t>
  </si>
  <si>
    <t>Slope of Lateral (%)</t>
  </si>
  <si>
    <t>Riser Height</t>
  </si>
  <si>
    <t>Lateral Elev. At End</t>
  </si>
  <si>
    <t>Ground Ele. At End</t>
  </si>
  <si>
    <t>Basement Floor Elev. at End</t>
  </si>
  <si>
    <t>Difference Basemetn Floor Elev. To Crown at Main</t>
  </si>
  <si>
    <t>Lateral Material</t>
  </si>
  <si>
    <t>Date Installed</t>
  </si>
  <si>
    <t>Stub Installed % of Grade</t>
  </si>
  <si>
    <t>Capacity (GPD</t>
  </si>
  <si>
    <t>Optilflux 1996</t>
  </si>
  <si>
    <t>Optilflux 1998</t>
  </si>
  <si>
    <t>Optilflux 1999</t>
  </si>
  <si>
    <t>DN 40</t>
  </si>
  <si>
    <t>DN 50</t>
  </si>
  <si>
    <t>DN 150</t>
  </si>
  <si>
    <t>Flow Rate (gpm)</t>
  </si>
  <si>
    <r>
      <rPr>
        <b/>
        <vertAlign val="superscript"/>
        <sz val="12"/>
        <color theme="1"/>
        <rFont val="Times New Roman"/>
        <family val="1"/>
      </rPr>
      <t>1</t>
    </r>
    <r>
      <rPr>
        <b/>
        <sz val="12"/>
        <color theme="1"/>
        <rFont val="Times New Roman"/>
        <family val="1"/>
      </rPr>
      <t>Est. Max Month Consumption (Gallons)</t>
    </r>
  </si>
  <si>
    <t>Maximum</t>
  </si>
  <si>
    <t>ǂEstimates are made with an assumed high and low hydraulic grade line and do not take into account the effects of friction</t>
  </si>
  <si>
    <t>Ultrasonic</t>
  </si>
  <si>
    <t>Minimium Range</t>
  </si>
  <si>
    <t>AWWA Minimum Flow</t>
  </si>
  <si>
    <t>N/A for Ultrasonic Meters</t>
  </si>
  <si>
    <t>Axulliary Fees (Internal)</t>
  </si>
  <si>
    <t>8-Inch</t>
  </si>
  <si>
    <t>10-Inch</t>
  </si>
  <si>
    <t>6-Inch</t>
  </si>
  <si>
    <t>12-Inch</t>
  </si>
  <si>
    <t>Compound - Protectus</t>
  </si>
  <si>
    <t>Compound  - TRU/FLO</t>
  </si>
  <si>
    <t>Null Filed</t>
  </si>
  <si>
    <t>N/A Field</t>
  </si>
  <si>
    <t xml:space="preserve">N/A </t>
  </si>
  <si>
    <t xml:space="preserve"> </t>
  </si>
  <si>
    <t/>
  </si>
  <si>
    <t>`</t>
  </si>
  <si>
    <t>Note: 6-inch hydrants leads, less than 50 feet, and</t>
  </si>
  <si>
    <t>water service lines to meters are not reported.</t>
  </si>
  <si>
    <r>
      <t xml:space="preserve">Utility System Improvement Opportunity Applicable: </t>
    </r>
    <r>
      <rPr>
        <i/>
        <sz val="10"/>
        <color theme="1"/>
        <rFont val="Times New Roman"/>
        <family val="1"/>
      </rPr>
      <t>(Reimbursement to the Developer)</t>
    </r>
  </si>
  <si>
    <t>(100 psi plus them max static pressure, but not less than 200 psi)</t>
  </si>
  <si>
    <t>Maximum static water pressure in the proposed water system for the high HGL:</t>
  </si>
  <si>
    <t>Minimum static water pressure in the proposed water system for the low HGL:</t>
  </si>
  <si>
    <r>
      <t>2023</t>
    </r>
    <r>
      <rPr>
        <vertAlign val="superscript"/>
        <sz val="11.5"/>
        <color theme="1"/>
        <rFont val="Times New Roman"/>
        <family val="1"/>
      </rPr>
      <t xml:space="preserve"> </t>
    </r>
    <r>
      <rPr>
        <sz val="11.5"/>
        <color theme="1"/>
        <rFont val="Times New Roman"/>
        <family val="1"/>
      </rPr>
      <t>Non-Binding Estimated Availability Fee</t>
    </r>
    <r>
      <rPr>
        <vertAlign val="superscript"/>
        <sz val="11.5"/>
        <color theme="1"/>
        <rFont val="Times New Roman"/>
        <family val="1"/>
      </rPr>
      <t>4</t>
    </r>
  </si>
  <si>
    <r>
      <t>2024</t>
    </r>
    <r>
      <rPr>
        <vertAlign val="superscript"/>
        <sz val="11.5"/>
        <color theme="1"/>
        <rFont val="Times New Roman"/>
        <family val="1"/>
      </rPr>
      <t xml:space="preserve"> </t>
    </r>
    <r>
      <rPr>
        <sz val="11.5"/>
        <color theme="1"/>
        <rFont val="Times New Roman"/>
        <family val="1"/>
      </rPr>
      <t>Non-Binding Estimated Availability Fee</t>
    </r>
    <r>
      <rPr>
        <vertAlign val="superscript"/>
        <sz val="11.5"/>
        <color theme="1"/>
        <rFont val="Times New Roman"/>
        <family val="1"/>
      </rPr>
      <t>4</t>
    </r>
  </si>
  <si>
    <r>
      <t>2025</t>
    </r>
    <r>
      <rPr>
        <vertAlign val="superscript"/>
        <sz val="11.5"/>
        <color theme="1"/>
        <rFont val="Times New Roman"/>
        <family val="1"/>
      </rPr>
      <t xml:space="preserve"> </t>
    </r>
    <r>
      <rPr>
        <sz val="11.5"/>
        <color theme="1"/>
        <rFont val="Times New Roman"/>
        <family val="1"/>
      </rPr>
      <t>Non-Binding Estimated Availability Fee</t>
    </r>
    <r>
      <rPr>
        <vertAlign val="superscript"/>
        <sz val="11.5"/>
        <color theme="1"/>
        <rFont val="Times New Roman"/>
        <family val="1"/>
      </rPr>
      <t>4</t>
    </r>
  </si>
  <si>
    <t>The Availability Fee is not the total fee due. New connections may be subject to the following fees: meter, meter installation, sewer and/or water inspection, application and Local Facility charges. See the Developer Rates &amp; Fees for additional information.</t>
  </si>
  <si>
    <r>
      <t>2023 Non-Binding Estimated Availability Fee</t>
    </r>
    <r>
      <rPr>
        <vertAlign val="superscript"/>
        <sz val="10"/>
        <color theme="1"/>
        <rFont val="Times New Roman"/>
        <family val="1"/>
      </rPr>
      <t>4</t>
    </r>
  </si>
  <si>
    <r>
      <t>2024 Non-Binding Estimated Availability Fee</t>
    </r>
    <r>
      <rPr>
        <vertAlign val="superscript"/>
        <sz val="10"/>
        <color theme="1"/>
        <rFont val="Times New Roman"/>
        <family val="1"/>
      </rPr>
      <t>4</t>
    </r>
  </si>
  <si>
    <r>
      <t>2025 Non-Binding Estimated Availability Fee</t>
    </r>
    <r>
      <rPr>
        <vertAlign val="superscript"/>
        <sz val="10"/>
        <color theme="1"/>
        <rFont val="Times New Roman"/>
        <family val="1"/>
      </rPr>
      <t>4</t>
    </r>
  </si>
  <si>
    <t>The undersigned Engineer and/or firm agrees that the Prince William Water shall have the right to use these</t>
  </si>
  <si>
    <t xml:space="preserve"> plans  and electronic files for the preparation of as-built records, as necessary.   The Engineer and/or firm  </t>
  </si>
  <si>
    <t>further agrees that the right to use the plans and electronic files shall be provided without cost to Prince William Water.</t>
  </si>
  <si>
    <t xml:space="preserve"> loss or water booster pumps in the water system. Actual pressures may vary and delivery pressures are not guaranteed.</t>
  </si>
  <si>
    <t xml:space="preserve">floor elevation from the service line, meter, and other plumbing appurtenances.  Prince William Water requires calculations to </t>
  </si>
  <si>
    <t>For water only accounts, the minimum purchased number of ERU units must match the allocation with the meter size as defined in Prince William Water's Developer Rates &amp; Fees.</t>
  </si>
  <si>
    <t>associated with the meter size.  For meters smaller than 2-inch, the maximum month water consumption is not reported.</t>
  </si>
  <si>
    <t>Sheet effective as of July 1, 2024</t>
  </si>
  <si>
    <t>Methods and materials used in the construction of water mains, sanitary sewer mains, force mains and appurtenances shall be in conformance with the current Prince William Water Utility Standards Manual (USM) and the Virginia Department of Health Regulations.</t>
  </si>
  <si>
    <t>Acceptance of these plans by Prince William Water will in no way relieve the owner from complying with the methods, policies or requirements stated in the Prince William Water's USM.</t>
  </si>
  <si>
    <t>Prince William Water has Local Review Authority for water mains up to and including 18-inch and sanitary sewer mains up to and including 24-inch.  Utilities outside Prince William Water's Local Review Authority, including low pressure force mains systems, are subject to the review, approval and permitting process of either the Virginia Department of Health Office of Drinking Water or Department of Environmental Quality.  It is the Professional Engineer's responsibility to submit all necessary applications and plans and to secure all applicable plan approvals and permits from the different governing authorities.</t>
  </si>
  <si>
    <t xml:space="preserve">Trees, fences, monuments, signs, entrance features, sheds, decks, overhanging canopies, or permanent structures shall not be placed in easements dedicated to the Prince William Water without written  permission from Prince William Water. </t>
  </si>
  <si>
    <t>The contractor shall notify the Prince William Water Manager at least two (2) business days, but not more than ten (10) business days, prior to the commencement of demolition, excavation or blasting in areas with underground water mains, sanitary sewer mains, and/or force mains.</t>
  </si>
  <si>
    <t>All subdivision will require an address listing approved by the Prince William County Mapping Office. The address listing must be presented to Prince William Water at the time the utility permit is issued.  Forms are available at Prince William Water. (Fax copies are not acceptable.)</t>
  </si>
  <si>
    <t>The contractor shall coordinate all relocation of water mains, sanitary sewer mains and/or force mains with the Wrince William Water's Field Inspector.  Water or sanitary sewer system shutdowns will not be executed without the prior approval of the Prince William Water Field Inspector. The Field Inspector shall require the contractor to submit a relocation work plan for Prince William Water's acceptance prior to the commencement of the relocation work. The work plan will detail how the work will be done and the manpower, materials, and equipment that will be at the site to perform the work.</t>
  </si>
  <si>
    <t>Prince William Water does not guarantee the availability or construction of utilities that are proposed by another entity even if those utilities are shown as existing in this plan set.  If needed utilities shown as existing are not available or do not exist, it is the developer's responsibility to acquiring the necessary rights and permits to install on-site and off-site water and sanitary sewer utilities to provide the desired service.</t>
  </si>
  <si>
    <t xml:space="preserve">Existing unused water service lines shall be exposed at the connection point on the water main and terminated as directed by the Prince William Water Field Inpspector.  The service line shall be terminted by either removing the corporation stop and installaing a a repair clamp or by closing  corporation stop and then cutting and crimping the service line. </t>
  </si>
  <si>
    <t>Existing unused laterals or sanitary service lines shall be cut and capped at the connection point to the sanitary sewer main or force main as directed by the Prince William Water Field Inspector.</t>
  </si>
  <si>
    <t>When an existing water service line, lateral, of sanitary service line will be reused as part of a new development, Prince William Water shall inspect the existing service line to ensure that it is acceptable and meets current Prince William Water material specifications. Any defects or out-of-date materials shall be repaired or replaced to the satisfaction of Prince William Water to ensure the service line is water tight before the existing service line is placed back in service.</t>
  </si>
  <si>
    <t>(Type 4 is typical for the Prince William Water backfill requirements)</t>
  </si>
  <si>
    <t>in this information sheet and agrees to hold harmless Prince William Water from any claim.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</si>
</sst>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0.0"/>
    <numFmt numFmtId="166" formatCode="_(* #,##0_);_(* \(#,##0\);_(* &quot;-&quot;?_);_(@_)"/>
  </numFmts>
  <fonts count="49" x14ac:knownFonts="1">
    <font>
      <sz val="11"/>
      <color theme="1"/>
      <name val="Calibri"/>
      <family val="2"/>
      <scheme val="minor"/>
    </font>
    <font>
      <sz val="11"/>
      <color theme="0"/>
      <name val="Calibri"/>
      <family val="2"/>
      <scheme val="minor"/>
    </font>
    <font>
      <sz val="10"/>
      <name val="Arial"/>
      <family val="2"/>
    </font>
    <font>
      <sz val="10"/>
      <color theme="1"/>
      <name val="Calibri"/>
      <family val="2"/>
      <scheme val="minor"/>
    </font>
    <font>
      <u/>
      <sz val="11"/>
      <color theme="1"/>
      <name val="Calibri"/>
      <family val="2"/>
      <scheme val="minor"/>
    </font>
    <font>
      <sz val="11"/>
      <color theme="1"/>
      <name val="Calibri"/>
      <family val="2"/>
      <scheme val="minor"/>
    </font>
    <font>
      <sz val="11"/>
      <color rgb="FFFF0000"/>
      <name val="Calibri"/>
      <family val="2"/>
      <scheme val="minor"/>
    </font>
    <font>
      <sz val="12"/>
      <color theme="1"/>
      <name val="Calibri"/>
      <family val="2"/>
      <scheme val="minor"/>
    </font>
    <font>
      <sz val="12"/>
      <color theme="1"/>
      <name val="Times New Roman"/>
      <family val="1"/>
    </font>
    <font>
      <b/>
      <u/>
      <sz val="24"/>
      <color theme="1"/>
      <name val="Calibri"/>
      <family val="2"/>
      <scheme val="minor"/>
    </font>
    <font>
      <b/>
      <sz val="24"/>
      <color theme="1"/>
      <name val="Wingdings 2"/>
      <family val="1"/>
      <charset val="2"/>
    </font>
    <font>
      <sz val="24"/>
      <color theme="1"/>
      <name val="Wingdings 2"/>
      <family val="1"/>
      <charset val="2"/>
    </font>
    <font>
      <sz val="8"/>
      <color indexed="81"/>
      <name val="Tahoma"/>
      <family val="2"/>
    </font>
    <font>
      <b/>
      <u/>
      <sz val="11"/>
      <color theme="1"/>
      <name val="Calibri"/>
      <family val="2"/>
      <scheme val="minor"/>
    </font>
    <font>
      <sz val="11"/>
      <name val="Calibri"/>
      <family val="2"/>
      <scheme val="minor"/>
    </font>
    <font>
      <sz val="12"/>
      <name val="Calibri"/>
      <family val="2"/>
      <scheme val="minor"/>
    </font>
    <font>
      <sz val="12"/>
      <color theme="0"/>
      <name val="Times New Roman"/>
      <family val="1"/>
    </font>
    <font>
      <i/>
      <sz val="12"/>
      <color theme="1"/>
      <name val="Times New Roman"/>
      <family val="1"/>
    </font>
    <font>
      <sz val="12"/>
      <name val="Times New Roman"/>
      <family val="1"/>
    </font>
    <font>
      <sz val="10"/>
      <name val="Times New Roman"/>
      <family val="1"/>
    </font>
    <font>
      <b/>
      <sz val="12"/>
      <color theme="1"/>
      <name val="Times New Roman"/>
      <family val="1"/>
    </font>
    <font>
      <u/>
      <sz val="12"/>
      <color theme="1"/>
      <name val="Times New Roman"/>
      <family val="1"/>
    </font>
    <font>
      <sz val="11"/>
      <color theme="1"/>
      <name val="Times New Roman"/>
      <family val="1"/>
    </font>
    <font>
      <i/>
      <sz val="10"/>
      <color theme="1"/>
      <name val="Times New Roman"/>
      <family val="1"/>
    </font>
    <font>
      <sz val="10"/>
      <color theme="1"/>
      <name val="Times New Roman"/>
      <family val="1"/>
    </font>
    <font>
      <sz val="8"/>
      <color theme="1"/>
      <name val="Calibri"/>
      <family val="2"/>
      <scheme val="minor"/>
    </font>
    <font>
      <b/>
      <sz val="11"/>
      <color theme="1"/>
      <name val="Times New Roman"/>
      <family val="1"/>
    </font>
    <font>
      <sz val="16"/>
      <color theme="1"/>
      <name val="Times New Roman"/>
      <family val="1"/>
    </font>
    <font>
      <sz val="18"/>
      <color theme="1"/>
      <name val="Times New Roman"/>
      <family val="1"/>
    </font>
    <font>
      <sz val="24"/>
      <color theme="1"/>
      <name val="Calibri"/>
      <family val="2"/>
      <scheme val="minor"/>
    </font>
    <font>
      <b/>
      <sz val="9"/>
      <color indexed="81"/>
      <name val="Tahoma"/>
      <family val="2"/>
    </font>
    <font>
      <b/>
      <sz val="9"/>
      <color theme="1"/>
      <name val="Times New Roman"/>
      <family val="1"/>
    </font>
    <font>
      <sz val="9"/>
      <color theme="1"/>
      <name val="Times New Roman"/>
      <family val="1"/>
    </font>
    <font>
      <b/>
      <sz val="12"/>
      <color theme="0"/>
      <name val="Times New Roman"/>
      <family val="1"/>
    </font>
    <font>
      <sz val="20"/>
      <color theme="1"/>
      <name val="Times New Roman"/>
      <family val="1"/>
    </font>
    <font>
      <sz val="9"/>
      <color theme="0"/>
      <name val="Times New Roman"/>
      <family val="1"/>
    </font>
    <font>
      <b/>
      <vertAlign val="superscript"/>
      <sz val="11"/>
      <color theme="1"/>
      <name val="Times New Roman"/>
      <family val="1"/>
    </font>
    <font>
      <b/>
      <vertAlign val="superscript"/>
      <sz val="12"/>
      <color theme="1"/>
      <name val="Times New Roman"/>
      <family val="1"/>
    </font>
    <font>
      <b/>
      <sz val="10"/>
      <color theme="1"/>
      <name val="Times New Roman"/>
      <family val="1"/>
    </font>
    <font>
      <b/>
      <u/>
      <sz val="12"/>
      <color theme="1"/>
      <name val="Times New Roman"/>
      <family val="1"/>
    </font>
    <font>
      <vertAlign val="superscript"/>
      <sz val="11"/>
      <color theme="1"/>
      <name val="Calibri"/>
      <family val="2"/>
      <scheme val="minor"/>
    </font>
    <font>
      <i/>
      <sz val="9"/>
      <color theme="1"/>
      <name val="Times New Roman"/>
      <family val="1"/>
    </font>
    <font>
      <b/>
      <sz val="22"/>
      <color theme="1"/>
      <name val="Times New Roman"/>
      <family val="1"/>
    </font>
    <font>
      <b/>
      <sz val="12"/>
      <color theme="1"/>
      <name val="Calibri"/>
      <family val="2"/>
      <scheme val="minor"/>
    </font>
    <font>
      <sz val="22"/>
      <color theme="1"/>
      <name val="Times New Roman"/>
      <family val="1"/>
    </font>
    <font>
      <i/>
      <sz val="9.5"/>
      <color theme="1"/>
      <name val="Times New Roman"/>
      <family val="1"/>
    </font>
    <font>
      <sz val="11.5"/>
      <color theme="1"/>
      <name val="Times New Roman"/>
      <family val="1"/>
    </font>
    <font>
      <vertAlign val="superscript"/>
      <sz val="11.5"/>
      <color theme="1"/>
      <name val="Times New Roman"/>
      <family val="1"/>
    </font>
    <font>
      <vertAlign val="superscript"/>
      <sz val="10"/>
      <color theme="1"/>
      <name val="Times New Roman"/>
      <family val="1"/>
    </font>
  </fonts>
  <fills count="11">
    <fill>
      <patternFill patternType="none"/>
    </fill>
    <fill>
      <patternFill patternType="gray125"/>
    </fill>
    <fill>
      <patternFill patternType="solid">
        <fgColor theme="8"/>
        <bgColor indexed="64"/>
      </patternFill>
    </fill>
    <fill>
      <patternFill patternType="solid">
        <fgColor theme="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0"/>
        <bgColor indexed="64"/>
      </patternFill>
    </fill>
  </fills>
  <borders count="5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ck">
        <color indexed="64"/>
      </bottom>
      <diagonal/>
    </border>
    <border>
      <left/>
      <right/>
      <top/>
      <bottom style="medium">
        <color indexed="64"/>
      </bottom>
      <diagonal/>
    </border>
    <border>
      <left/>
      <right/>
      <top/>
      <bottom style="double">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thick">
        <color auto="1"/>
      </right>
      <top style="medium">
        <color indexed="64"/>
      </top>
      <bottom/>
      <diagonal/>
    </border>
    <border>
      <left/>
      <right style="thick">
        <color auto="1"/>
      </right>
      <top/>
      <bottom style="thin">
        <color indexed="64"/>
      </bottom>
      <diagonal/>
    </border>
    <border>
      <left style="medium">
        <color indexed="64"/>
      </left>
      <right/>
      <top/>
      <bottom style="thick">
        <color auto="1"/>
      </bottom>
      <diagonal/>
    </border>
    <border>
      <left style="thick">
        <color indexed="64"/>
      </left>
      <right/>
      <top style="thin">
        <color indexed="64"/>
      </top>
      <bottom/>
      <diagonal/>
    </border>
    <border>
      <left style="thick">
        <color indexed="64"/>
      </left>
      <right/>
      <top/>
      <bottom style="thin">
        <color indexed="64"/>
      </bottom>
      <diagonal/>
    </border>
    <border>
      <left style="thin">
        <color indexed="64"/>
      </left>
      <right/>
      <top/>
      <bottom style="thick">
        <color indexed="64"/>
      </bottom>
      <diagonal/>
    </border>
    <border>
      <left/>
      <right style="thick">
        <color indexed="64"/>
      </right>
      <top style="thin">
        <color indexed="64"/>
      </top>
      <bottom/>
      <diagonal/>
    </border>
    <border>
      <left style="medium">
        <color indexed="64"/>
      </left>
      <right/>
      <top style="thin">
        <color indexed="64"/>
      </top>
      <bottom/>
      <diagonal/>
    </border>
    <border>
      <left/>
      <right style="thin">
        <color indexed="64"/>
      </right>
      <top/>
      <bottom style="thick">
        <color indexed="64"/>
      </bottom>
      <diagonal/>
    </border>
    <border>
      <left style="medium">
        <color indexed="64"/>
      </left>
      <right/>
      <top/>
      <bottom style="medium">
        <color indexed="64"/>
      </bottom>
      <diagonal/>
    </border>
    <border>
      <left style="double">
        <color indexed="64"/>
      </left>
      <right style="thin">
        <color indexed="64"/>
      </right>
      <top style="thin">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double">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medium">
        <color indexed="64"/>
      </bottom>
      <diagonal/>
    </border>
    <border>
      <left/>
      <right style="thick">
        <color indexed="64"/>
      </right>
      <top style="thin">
        <color indexed="64"/>
      </top>
      <bottom style="thin">
        <color indexed="64"/>
      </bottom>
      <diagonal/>
    </border>
  </borders>
  <cellStyleXfs count="3">
    <xf numFmtId="0" fontId="0" fillId="0" borderId="0"/>
    <xf numFmtId="43" fontId="5" fillId="0" borderId="0" applyFont="0" applyFill="0" applyBorder="0" applyAlignment="0" applyProtection="0"/>
    <xf numFmtId="44" fontId="5" fillId="0" borderId="0" applyFont="0" applyFill="0" applyBorder="0" applyAlignment="0" applyProtection="0"/>
  </cellStyleXfs>
  <cellXfs count="576">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vertical="top"/>
    </xf>
    <xf numFmtId="0" fontId="2" fillId="0" borderId="0" xfId="0" applyFont="1" applyAlignment="1">
      <alignment wrapText="1"/>
    </xf>
    <xf numFmtId="0" fontId="2" fillId="0" borderId="0" xfId="0" applyFont="1" applyAlignment="1">
      <alignment horizontal="center" wrapText="1"/>
    </xf>
    <xf numFmtId="0" fontId="2" fillId="0" borderId="0" xfId="0" applyFont="1"/>
    <xf numFmtId="0" fontId="0" fillId="0" borderId="0" xfId="0" applyAlignment="1">
      <alignment horizontal="center" vertical="center"/>
    </xf>
    <xf numFmtId="0" fontId="2" fillId="0" borderId="0" xfId="0" applyFont="1" applyFill="1"/>
    <xf numFmtId="0" fontId="0" fillId="0" borderId="0" xfId="0" applyFill="1"/>
    <xf numFmtId="0" fontId="0" fillId="0" borderId="0" xfId="0" applyFill="1" applyAlignment="1">
      <alignment horizontal="center" vertical="center"/>
    </xf>
    <xf numFmtId="1" fontId="0" fillId="0" borderId="0" xfId="0" applyNumberFormat="1"/>
    <xf numFmtId="0" fontId="0" fillId="0" borderId="0" xfId="0" applyBorder="1"/>
    <xf numFmtId="0" fontId="0" fillId="0" borderId="3" xfId="0" applyBorder="1" applyAlignment="1">
      <alignment horizontal="center"/>
    </xf>
    <xf numFmtId="1" fontId="0" fillId="0" borderId="3" xfId="0" applyNumberFormat="1" applyBorder="1" applyAlignment="1">
      <alignment horizontal="center"/>
    </xf>
    <xf numFmtId="0" fontId="0" fillId="0" borderId="1" xfId="0" applyBorder="1"/>
    <xf numFmtId="0" fontId="0" fillId="0" borderId="3" xfId="0" applyFont="1" applyBorder="1" applyAlignment="1">
      <alignment horizontal="center" vertical="top"/>
    </xf>
    <xf numFmtId="0" fontId="0" fillId="0" borderId="8" xfId="0" applyBorder="1"/>
    <xf numFmtId="0" fontId="0" fillId="0" borderId="0" xfId="0" applyAlignment="1">
      <alignment horizontal="left" vertical="top"/>
    </xf>
    <xf numFmtId="0" fontId="0" fillId="0" borderId="0" xfId="0" applyAlignment="1">
      <alignment vertical="top" wrapText="1"/>
    </xf>
    <xf numFmtId="0" fontId="0" fillId="0" borderId="0" xfId="0" applyAlignment="1">
      <alignment horizontal="center" vertical="top" wrapText="1"/>
    </xf>
    <xf numFmtId="0" fontId="8" fillId="0" borderId="0" xfId="0" applyFont="1" applyAlignment="1">
      <alignment vertical="top"/>
    </xf>
    <xf numFmtId="44" fontId="0" fillId="0" borderId="0" xfId="0" applyNumberFormat="1"/>
    <xf numFmtId="44" fontId="0" fillId="0" borderId="0" xfId="2" applyFont="1"/>
    <xf numFmtId="44" fontId="0" fillId="0" borderId="0" xfId="2" applyFont="1" applyAlignment="1">
      <alignment horizontal="center"/>
    </xf>
    <xf numFmtId="164" fontId="0" fillId="0" borderId="0" xfId="0" applyNumberFormat="1"/>
    <xf numFmtId="164" fontId="0" fillId="0" borderId="0" xfId="1" applyNumberFormat="1" applyFont="1" applyAlignment="1">
      <alignment horizontal="right" vertical="center"/>
    </xf>
    <xf numFmtId="0" fontId="0" fillId="0" borderId="0" xfId="0" applyFill="1" applyAlignment="1">
      <alignment horizontal="center"/>
    </xf>
    <xf numFmtId="0" fontId="0" fillId="4" borderId="0" xfId="0" applyFill="1" applyAlignment="1">
      <alignment horizontal="center"/>
    </xf>
    <xf numFmtId="0" fontId="0" fillId="5" borderId="0" xfId="0" applyFill="1"/>
    <xf numFmtId="0" fontId="0" fillId="6" borderId="0" xfId="0" applyFill="1" applyAlignment="1">
      <alignment horizontal="center"/>
    </xf>
    <xf numFmtId="0" fontId="0" fillId="0" borderId="0" xfId="0" applyFill="1" applyAlignment="1">
      <alignment horizontal="center" vertical="top" wrapText="1"/>
    </xf>
    <xf numFmtId="0" fontId="0" fillId="4" borderId="0" xfId="0" applyFill="1" applyAlignment="1">
      <alignment horizontal="center" vertical="top" wrapText="1"/>
    </xf>
    <xf numFmtId="0" fontId="0" fillId="5" borderId="0" xfId="0" applyFill="1" applyAlignment="1">
      <alignment vertical="top" wrapText="1"/>
    </xf>
    <xf numFmtId="0" fontId="6" fillId="0" borderId="0" xfId="0" applyFont="1"/>
    <xf numFmtId="0" fontId="0" fillId="0" borderId="0" xfId="0" applyFill="1" applyBorder="1"/>
    <xf numFmtId="0" fontId="0" fillId="0" borderId="0" xfId="0" applyFill="1" applyBorder="1" applyAlignment="1">
      <alignment horizontal="center"/>
    </xf>
    <xf numFmtId="0" fontId="0" fillId="0" borderId="0" xfId="1" applyNumberFormat="1" applyFont="1" applyFill="1" applyBorder="1" applyAlignment="1">
      <alignment horizontal="center" vertical="center" wrapText="1"/>
    </xf>
    <xf numFmtId="0" fontId="0" fillId="0" borderId="0" xfId="1" applyNumberFormat="1" applyFont="1" applyFill="1" applyBorder="1" applyAlignment="1">
      <alignment horizontal="center" wrapText="1"/>
    </xf>
    <xf numFmtId="0" fontId="10" fillId="0" borderId="0" xfId="0" applyFont="1" applyFill="1" applyBorder="1" applyAlignment="1">
      <alignment horizontal="center" vertical="center"/>
    </xf>
    <xf numFmtId="0" fontId="0" fillId="0" borderId="0" xfId="1" applyNumberFormat="1" applyFont="1" applyFill="1" applyBorder="1" applyAlignment="1">
      <alignment horizontal="left" vertical="center"/>
    </xf>
    <xf numFmtId="0" fontId="0" fillId="0" borderId="0" xfId="0" applyFill="1" applyBorder="1" applyAlignment="1">
      <alignment horizontal="center" vertical="top" wrapText="1"/>
    </xf>
    <xf numFmtId="0" fontId="11" fillId="0" borderId="0" xfId="0" applyFont="1" applyFill="1" applyBorder="1" applyAlignment="1">
      <alignment horizontal="center" vertical="center"/>
    </xf>
    <xf numFmtId="0" fontId="0" fillId="0" borderId="0" xfId="0" applyFill="1" applyBorder="1" applyAlignment="1">
      <alignment horizontal="left" vertical="top"/>
    </xf>
    <xf numFmtId="0" fontId="0" fillId="0" borderId="0" xfId="0" applyFill="1" applyBorder="1" applyAlignment="1">
      <alignment vertical="top" wrapText="1"/>
    </xf>
    <xf numFmtId="0" fontId="0" fillId="0" borderId="0" xfId="0" applyFill="1" applyBorder="1" applyAlignment="1">
      <alignment vertical="top"/>
    </xf>
    <xf numFmtId="0" fontId="9" fillId="0" borderId="0" xfId="0" applyFont="1" applyFill="1" applyBorder="1"/>
    <xf numFmtId="0" fontId="0" fillId="0" borderId="10" xfId="0" applyBorder="1"/>
    <xf numFmtId="44" fontId="0" fillId="0" borderId="1" xfId="2" applyFont="1" applyBorder="1"/>
    <xf numFmtId="44" fontId="0" fillId="0" borderId="1" xfId="2" applyFont="1" applyBorder="1" applyAlignment="1">
      <alignment horizontal="right"/>
    </xf>
    <xf numFmtId="44" fontId="0" fillId="0" borderId="9" xfId="2" applyFont="1" applyBorder="1" applyAlignment="1">
      <alignment horizontal="right"/>
    </xf>
    <xf numFmtId="44" fontId="0" fillId="0" borderId="0" xfId="2" applyFont="1" applyBorder="1"/>
    <xf numFmtId="44" fontId="0" fillId="0" borderId="0" xfId="2" applyFont="1" applyBorder="1" applyAlignment="1">
      <alignment horizontal="right"/>
    </xf>
    <xf numFmtId="44" fontId="0" fillId="0" borderId="7" xfId="2" applyFont="1" applyBorder="1" applyAlignment="1">
      <alignment horizontal="right"/>
    </xf>
    <xf numFmtId="0" fontId="0" fillId="0" borderId="0" xfId="0" applyBorder="1" applyAlignment="1">
      <alignment horizontal="right"/>
    </xf>
    <xf numFmtId="0" fontId="0" fillId="0" borderId="7" xfId="0" applyBorder="1" applyAlignment="1">
      <alignment horizontal="right"/>
    </xf>
    <xf numFmtId="0" fontId="0" fillId="0" borderId="6" xfId="0" applyBorder="1"/>
    <xf numFmtId="0" fontId="0" fillId="0" borderId="2" xfId="0" applyBorder="1"/>
    <xf numFmtId="164" fontId="0" fillId="0" borderId="2" xfId="1" applyNumberFormat="1" applyFont="1" applyBorder="1"/>
    <xf numFmtId="164" fontId="0" fillId="0" borderId="2" xfId="1" applyNumberFormat="1" applyFont="1" applyBorder="1" applyAlignment="1">
      <alignment horizontal="right"/>
    </xf>
    <xf numFmtId="164" fontId="0" fillId="0" borderId="5" xfId="1" applyNumberFormat="1" applyFont="1" applyBorder="1" applyAlignment="1">
      <alignment horizontal="right"/>
    </xf>
    <xf numFmtId="0" fontId="3" fillId="0" borderId="0" xfId="0" applyFont="1" applyAlignment="1">
      <alignment horizontal="center" wrapText="1"/>
    </xf>
    <xf numFmtId="44" fontId="14" fillId="0" borderId="0" xfId="2" applyFont="1" applyFill="1"/>
    <xf numFmtId="164" fontId="0" fillId="0" borderId="0" xfId="1" applyNumberFormat="1" applyFont="1" applyFill="1" applyAlignment="1">
      <alignment horizontal="center"/>
    </xf>
    <xf numFmtId="0" fontId="0" fillId="0" borderId="0" xfId="0" applyAlignment="1">
      <alignment horizontal="right"/>
    </xf>
    <xf numFmtId="0" fontId="0" fillId="0" borderId="0" xfId="0" applyAlignment="1">
      <alignment horizontal="right" vertical="center"/>
    </xf>
    <xf numFmtId="0" fontId="0" fillId="0" borderId="0" xfId="0" applyAlignment="1">
      <alignment horizontal="center" vertical="center" wrapText="1"/>
    </xf>
    <xf numFmtId="2" fontId="0" fillId="0" borderId="0" xfId="0" applyNumberFormat="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7" fillId="0" borderId="0" xfId="0" applyFont="1"/>
    <xf numFmtId="0" fontId="7" fillId="0" borderId="1" xfId="0" applyFont="1" applyBorder="1"/>
    <xf numFmtId="0" fontId="7" fillId="0" borderId="0" xfId="0" applyFont="1" applyBorder="1"/>
    <xf numFmtId="0" fontId="7" fillId="0" borderId="11" xfId="0" applyFont="1" applyBorder="1"/>
    <xf numFmtId="0" fontId="7" fillId="0" borderId="4" xfId="0" applyFont="1" applyBorder="1"/>
    <xf numFmtId="0" fontId="7" fillId="0" borderId="7" xfId="0" applyFont="1" applyBorder="1"/>
    <xf numFmtId="0" fontId="7" fillId="0" borderId="8" xfId="0" applyFont="1" applyBorder="1"/>
    <xf numFmtId="0" fontId="8" fillId="0" borderId="1" xfId="0" applyFont="1" applyBorder="1"/>
    <xf numFmtId="0" fontId="8" fillId="0" borderId="1" xfId="0" applyFont="1" applyBorder="1" applyAlignment="1">
      <alignment horizontal="right" vertical="top"/>
    </xf>
    <xf numFmtId="0" fontId="8" fillId="0" borderId="4" xfId="0" applyFont="1" applyBorder="1" applyAlignment="1">
      <alignment horizontal="right" vertical="top"/>
    </xf>
    <xf numFmtId="0" fontId="8" fillId="0" borderId="0" xfId="0" applyFont="1" applyBorder="1"/>
    <xf numFmtId="0" fontId="8" fillId="0" borderId="7" xfId="0" applyFont="1" applyBorder="1" applyAlignment="1">
      <alignment horizontal="right" vertical="top"/>
    </xf>
    <xf numFmtId="0" fontId="17" fillId="0" borderId="0" xfId="0" applyFont="1" applyBorder="1" applyAlignment="1">
      <alignment vertical="top"/>
    </xf>
    <xf numFmtId="0" fontId="8" fillId="0" borderId="4" xfId="0" applyFont="1" applyBorder="1"/>
    <xf numFmtId="0" fontId="8" fillId="0" borderId="12" xfId="0" applyFont="1" applyBorder="1"/>
    <xf numFmtId="0" fontId="8" fillId="0" borderId="7" xfId="0" applyFont="1" applyBorder="1"/>
    <xf numFmtId="0" fontId="8" fillId="0" borderId="8" xfId="0" applyFont="1" applyBorder="1"/>
    <xf numFmtId="0" fontId="8" fillId="0" borderId="2" xfId="0" applyFont="1" applyBorder="1"/>
    <xf numFmtId="0" fontId="7" fillId="0" borderId="10" xfId="0" applyFont="1" applyBorder="1"/>
    <xf numFmtId="0" fontId="7" fillId="0" borderId="6" xfId="0" applyFont="1" applyBorder="1"/>
    <xf numFmtId="0" fontId="8" fillId="0" borderId="0" xfId="0" applyFont="1" applyBorder="1" applyAlignment="1"/>
    <xf numFmtId="0" fontId="8" fillId="0" borderId="1" xfId="0" applyFont="1" applyFill="1" applyBorder="1"/>
    <xf numFmtId="0" fontId="8" fillId="0" borderId="4" xfId="0" applyFont="1" applyBorder="1" applyAlignment="1">
      <alignment horizontal="left"/>
    </xf>
    <xf numFmtId="0" fontId="8" fillId="0" borderId="0" xfId="0" applyFont="1" applyBorder="1" applyAlignment="1">
      <alignment horizontal="left"/>
    </xf>
    <xf numFmtId="0" fontId="8" fillId="0" borderId="4" xfId="0" applyFont="1" applyFill="1" applyBorder="1"/>
    <xf numFmtId="1" fontId="8" fillId="0" borderId="4" xfId="0" applyNumberFormat="1" applyFont="1" applyBorder="1"/>
    <xf numFmtId="0" fontId="8" fillId="0" borderId="0" xfId="0" applyFont="1" applyBorder="1" applyAlignment="1">
      <alignment vertical="top" wrapText="1"/>
    </xf>
    <xf numFmtId="0" fontId="8" fillId="0" borderId="1" xfId="0" applyFont="1" applyFill="1" applyBorder="1" applyAlignment="1">
      <alignment horizontal="right"/>
    </xf>
    <xf numFmtId="0" fontId="8" fillId="0" borderId="1" xfId="0" applyFont="1" applyFill="1" applyBorder="1" applyAlignment="1">
      <alignment horizontal="center"/>
    </xf>
    <xf numFmtId="0" fontId="8" fillId="0" borderId="16" xfId="0" applyFont="1" applyFill="1" applyBorder="1" applyAlignment="1">
      <alignment horizontal="left"/>
    </xf>
    <xf numFmtId="0" fontId="8" fillId="0" borderId="16" xfId="0" applyFont="1" applyFill="1" applyBorder="1"/>
    <xf numFmtId="0" fontId="8" fillId="0" borderId="16" xfId="0" applyFont="1" applyFill="1" applyBorder="1" applyAlignment="1">
      <alignment horizontal="center"/>
    </xf>
    <xf numFmtId="0" fontId="22" fillId="0" borderId="3" xfId="0" applyFont="1" applyFill="1" applyBorder="1" applyAlignment="1">
      <alignment horizontal="center"/>
    </xf>
    <xf numFmtId="165" fontId="8" fillId="0" borderId="1" xfId="0" applyNumberFormat="1" applyFont="1" applyFill="1" applyBorder="1" applyAlignment="1">
      <alignment horizontal="center"/>
    </xf>
    <xf numFmtId="1" fontId="8" fillId="0" borderId="1" xfId="0" applyNumberFormat="1" applyFont="1" applyFill="1" applyBorder="1" applyAlignment="1">
      <alignment horizontal="center"/>
    </xf>
    <xf numFmtId="0" fontId="8" fillId="0" borderId="18" xfId="0" applyFont="1" applyBorder="1"/>
    <xf numFmtId="0" fontId="22" fillId="0" borderId="18" xfId="0" applyFont="1" applyFill="1" applyBorder="1"/>
    <xf numFmtId="0" fontId="22" fillId="4" borderId="3" xfId="0" applyFont="1" applyFill="1" applyBorder="1" applyAlignment="1">
      <alignment horizontal="center"/>
    </xf>
    <xf numFmtId="0" fontId="8" fillId="0" borderId="0" xfId="0" applyFont="1" applyFill="1" applyBorder="1"/>
    <xf numFmtId="0" fontId="8" fillId="0" borderId="0" xfId="0" applyFont="1" applyFill="1" applyBorder="1" applyAlignment="1">
      <alignment horizontal="center"/>
    </xf>
    <xf numFmtId="0" fontId="8" fillId="0" borderId="0" xfId="0" applyFont="1" applyFill="1" applyBorder="1" applyAlignment="1"/>
    <xf numFmtId="0" fontId="16" fillId="2" borderId="2" xfId="0" applyFont="1" applyFill="1" applyBorder="1" applyAlignment="1"/>
    <xf numFmtId="0" fontId="7" fillId="2" borderId="2" xfId="0" applyFont="1" applyFill="1" applyBorder="1"/>
    <xf numFmtId="0" fontId="8" fillId="2" borderId="2" xfId="0" applyFont="1" applyFill="1" applyBorder="1"/>
    <xf numFmtId="0" fontId="8" fillId="0" borderId="0" xfId="0" applyFont="1" applyBorder="1" applyAlignment="1">
      <alignment vertical="top"/>
    </xf>
    <xf numFmtId="0" fontId="7" fillId="0" borderId="9" xfId="0" applyFont="1" applyBorder="1"/>
    <xf numFmtId="0" fontId="8" fillId="0" borderId="7" xfId="0" applyFont="1" applyBorder="1" applyAlignment="1">
      <alignment horizontal="left" vertical="top"/>
    </xf>
    <xf numFmtId="1" fontId="8" fillId="0" borderId="0" xfId="0" applyNumberFormat="1" applyFont="1" applyBorder="1"/>
    <xf numFmtId="0" fontId="16" fillId="2" borderId="0" xfId="0" applyFont="1" applyFill="1" applyBorder="1" applyAlignment="1"/>
    <xf numFmtId="0" fontId="8" fillId="2" borderId="0" xfId="0" applyFont="1" applyFill="1" applyBorder="1"/>
    <xf numFmtId="0" fontId="7" fillId="0" borderId="1" xfId="0" applyFont="1" applyBorder="1" applyAlignment="1"/>
    <xf numFmtId="0" fontId="7" fillId="0" borderId="0" xfId="0" applyFont="1" applyFill="1" applyBorder="1"/>
    <xf numFmtId="0" fontId="8" fillId="0" borderId="0" xfId="0" applyFont="1" applyFill="1" applyBorder="1" applyAlignment="1">
      <alignment vertical="center"/>
    </xf>
    <xf numFmtId="0" fontId="0" fillId="0" borderId="0" xfId="0" applyFill="1" applyBorder="1" applyAlignment="1">
      <alignment vertical="center"/>
    </xf>
    <xf numFmtId="0" fontId="0" fillId="0" borderId="8" xfId="0" applyFill="1" applyBorder="1" applyAlignment="1">
      <alignment vertical="center"/>
    </xf>
    <xf numFmtId="0" fontId="8" fillId="0" borderId="10" xfId="0" applyFont="1" applyFill="1" applyBorder="1" applyAlignment="1">
      <alignment horizontal="right"/>
    </xf>
    <xf numFmtId="0" fontId="16" fillId="2" borderId="7" xfId="0" applyFont="1" applyFill="1" applyBorder="1" applyAlignment="1"/>
    <xf numFmtId="0" fontId="23" fillId="0" borderId="7" xfId="0" applyFont="1" applyBorder="1" applyAlignment="1">
      <alignment vertical="top"/>
    </xf>
    <xf numFmtId="0" fontId="0" fillId="0" borderId="8" xfId="0" applyFill="1" applyBorder="1"/>
    <xf numFmtId="0" fontId="23" fillId="0" borderId="0" xfId="0" applyFont="1" applyBorder="1" applyAlignment="1">
      <alignment vertical="top"/>
    </xf>
    <xf numFmtId="0" fontId="22" fillId="0" borderId="0" xfId="0" applyFont="1" applyFill="1" applyBorder="1" applyAlignment="1">
      <alignment horizontal="left"/>
    </xf>
    <xf numFmtId="0" fontId="22" fillId="0" borderId="0" xfId="0" applyFont="1" applyFill="1" applyBorder="1"/>
    <xf numFmtId="0" fontId="8" fillId="0" borderId="7" xfId="0" applyFont="1" applyBorder="1" applyAlignment="1">
      <alignment vertical="top" wrapText="1"/>
    </xf>
    <xf numFmtId="0" fontId="22" fillId="0" borderId="0" xfId="0" applyFont="1" applyFill="1" applyBorder="1" applyAlignment="1">
      <alignment horizontal="center"/>
    </xf>
    <xf numFmtId="0" fontId="0" fillId="0" borderId="8" xfId="0" applyFill="1" applyBorder="1" applyAlignment="1">
      <alignment horizontal="center"/>
    </xf>
    <xf numFmtId="0" fontId="8" fillId="0" borderId="0" xfId="0" applyFont="1" applyFill="1" applyBorder="1" applyAlignment="1">
      <alignment horizontal="left"/>
    </xf>
    <xf numFmtId="0" fontId="8" fillId="0" borderId="8" xfId="0" applyFont="1" applyFill="1" applyBorder="1" applyAlignment="1"/>
    <xf numFmtId="0" fontId="8" fillId="0" borderId="0" xfId="0" applyFont="1" applyFill="1" applyBorder="1" applyAlignment="1">
      <alignment vertical="top"/>
    </xf>
    <xf numFmtId="0" fontId="0" fillId="0" borderId="13" xfId="0" applyFill="1"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7" fillId="0" borderId="15" xfId="0" applyFont="1" applyBorder="1"/>
    <xf numFmtId="0" fontId="7" fillId="0" borderId="13" xfId="0" applyFont="1" applyBorder="1"/>
    <xf numFmtId="0" fontId="7" fillId="0" borderId="1" xfId="0" applyFont="1" applyBorder="1" applyAlignment="1">
      <alignment vertical="top"/>
    </xf>
    <xf numFmtId="0" fontId="8" fillId="0" borderId="1" xfId="0" applyFont="1" applyBorder="1" applyAlignment="1">
      <alignment horizontal="center" vertical="top"/>
    </xf>
    <xf numFmtId="0" fontId="8" fillId="0" borderId="1" xfId="0" applyFont="1" applyBorder="1" applyAlignment="1">
      <alignment vertical="top"/>
    </xf>
    <xf numFmtId="0" fontId="7" fillId="0" borderId="0" xfId="0" applyFont="1" applyBorder="1" applyAlignment="1">
      <alignment vertical="top"/>
    </xf>
    <xf numFmtId="0" fontId="7" fillId="0" borderId="4" xfId="0" applyFont="1" applyBorder="1" applyAlignment="1">
      <alignment vertical="top"/>
    </xf>
    <xf numFmtId="0" fontId="8" fillId="0" borderId="4" xfId="0" applyFont="1" applyBorder="1" applyAlignment="1">
      <alignment horizontal="center" vertical="top"/>
    </xf>
    <xf numFmtId="0" fontId="24" fillId="0" borderId="0" xfId="0" applyFont="1" applyBorder="1" applyAlignment="1">
      <alignment vertical="top"/>
    </xf>
    <xf numFmtId="0" fontId="24" fillId="0" borderId="0" xfId="0" applyFont="1" applyBorder="1"/>
    <xf numFmtId="0" fontId="7" fillId="0" borderId="5" xfId="0" applyFont="1" applyBorder="1"/>
    <xf numFmtId="0" fontId="16" fillId="2" borderId="0" xfId="0" applyFont="1" applyFill="1" applyBorder="1" applyAlignment="1">
      <alignment horizontal="center"/>
    </xf>
    <xf numFmtId="0" fontId="7" fillId="2" borderId="0" xfId="0" applyFont="1" applyFill="1" applyBorder="1"/>
    <xf numFmtId="0" fontId="16" fillId="2" borderId="0" xfId="0" applyFont="1" applyFill="1" applyBorder="1" applyAlignment="1">
      <alignment horizontal="left"/>
    </xf>
    <xf numFmtId="0" fontId="15" fillId="2" borderId="0" xfId="0" applyFont="1" applyFill="1" applyBorder="1"/>
    <xf numFmtId="0" fontId="18" fillId="2" borderId="0" xfId="0" applyFont="1" applyFill="1" applyBorder="1"/>
    <xf numFmtId="0" fontId="8" fillId="0" borderId="0" xfId="0" applyFont="1" applyBorder="1" applyAlignment="1">
      <alignment horizontal="right" vertical="top"/>
    </xf>
    <xf numFmtId="0" fontId="3" fillId="0" borderId="0" xfId="0" applyFont="1" applyBorder="1"/>
    <xf numFmtId="0" fontId="1" fillId="2" borderId="0" xfId="0" applyFont="1" applyFill="1" applyBorder="1" applyAlignment="1"/>
    <xf numFmtId="0" fontId="16" fillId="2" borderId="5" xfId="0" applyFont="1" applyFill="1" applyBorder="1" applyAlignment="1">
      <alignment horizontal="left"/>
    </xf>
    <xf numFmtId="0" fontId="8" fillId="0" borderId="7" xfId="0" applyFont="1" applyBorder="1" applyAlignment="1">
      <alignment vertical="top"/>
    </xf>
    <xf numFmtId="0" fontId="8" fillId="0" borderId="7" xfId="0" applyFont="1" applyBorder="1" applyAlignment="1">
      <alignment horizontal="center" vertical="top"/>
    </xf>
    <xf numFmtId="0" fontId="7" fillId="2" borderId="6" xfId="0" applyFont="1" applyFill="1" applyBorder="1"/>
    <xf numFmtId="0" fontId="7" fillId="0" borderId="0" xfId="0" applyFont="1" applyBorder="1" applyAlignment="1">
      <alignment horizontal="right" vertical="top"/>
    </xf>
    <xf numFmtId="0" fontId="7" fillId="0" borderId="1" xfId="0" applyFont="1" applyBorder="1" applyAlignment="1">
      <alignment horizontal="right" vertical="top"/>
    </xf>
    <xf numFmtId="0" fontId="7" fillId="0" borderId="0" xfId="0" applyFont="1" applyFill="1"/>
    <xf numFmtId="0" fontId="7" fillId="0" borderId="2" xfId="0" applyFont="1" applyBorder="1"/>
    <xf numFmtId="0" fontId="9" fillId="0" borderId="2" xfId="0" applyFont="1" applyBorder="1" applyAlignment="1"/>
    <xf numFmtId="0" fontId="0" fillId="0" borderId="3" xfId="0" applyFont="1" applyFill="1" applyBorder="1" applyAlignment="1">
      <alignment horizontal="center" vertical="top"/>
    </xf>
    <xf numFmtId="0" fontId="7" fillId="0" borderId="3" xfId="0" applyFont="1" applyBorder="1" applyAlignment="1">
      <alignment horizontal="center"/>
    </xf>
    <xf numFmtId="0" fontId="9" fillId="0" borderId="1" xfId="0" applyFont="1" applyBorder="1" applyAlignment="1"/>
    <xf numFmtId="0" fontId="7" fillId="0" borderId="9" xfId="0" applyFont="1" applyBorder="1" applyAlignment="1"/>
    <xf numFmtId="0" fontId="7" fillId="0" borderId="10" xfId="0" applyFont="1" applyBorder="1" applyAlignment="1"/>
    <xf numFmtId="0" fontId="7" fillId="2" borderId="20" xfId="0" applyFont="1" applyFill="1" applyBorder="1"/>
    <xf numFmtId="0" fontId="16" fillId="2" borderId="20" xfId="0" applyFont="1" applyFill="1" applyBorder="1" applyAlignment="1"/>
    <xf numFmtId="0" fontId="7" fillId="0" borderId="20" xfId="0" applyFont="1" applyBorder="1"/>
    <xf numFmtId="0" fontId="16" fillId="2" borderId="22" xfId="0" applyFont="1" applyFill="1" applyBorder="1" applyAlignment="1"/>
    <xf numFmtId="0" fontId="8" fillId="2" borderId="20" xfId="0" applyFont="1" applyFill="1" applyBorder="1"/>
    <xf numFmtId="0" fontId="7" fillId="0" borderId="23" xfId="0" applyFont="1" applyBorder="1"/>
    <xf numFmtId="0" fontId="8" fillId="2" borderId="21" xfId="0" applyFont="1" applyFill="1" applyBorder="1"/>
    <xf numFmtId="0" fontId="7" fillId="0" borderId="25" xfId="0" applyFont="1" applyBorder="1"/>
    <xf numFmtId="0" fontId="7" fillId="0" borderId="26" xfId="0" applyFont="1" applyBorder="1"/>
    <xf numFmtId="0" fontId="7" fillId="0" borderId="27" xfId="0" applyFont="1" applyBorder="1"/>
    <xf numFmtId="0" fontId="7" fillId="0" borderId="16" xfId="0" applyFont="1" applyBorder="1"/>
    <xf numFmtId="0" fontId="7" fillId="0" borderId="28" xfId="0" applyFont="1" applyBorder="1"/>
    <xf numFmtId="0" fontId="7" fillId="2" borderId="0" xfId="0" applyFont="1" applyFill="1" applyBorder="1" applyAlignment="1">
      <alignment vertical="top"/>
    </xf>
    <xf numFmtId="0" fontId="1" fillId="2" borderId="0" xfId="0" applyFont="1" applyFill="1" applyBorder="1" applyAlignment="1">
      <alignment vertical="top"/>
    </xf>
    <xf numFmtId="0" fontId="8" fillId="2" borderId="0" xfId="0" applyFont="1" applyFill="1" applyBorder="1" applyAlignment="1">
      <alignment vertical="top"/>
    </xf>
    <xf numFmtId="0" fontId="0" fillId="0" borderId="0" xfId="0" applyBorder="1" applyAlignment="1">
      <alignment vertical="top"/>
    </xf>
    <xf numFmtId="0" fontId="20" fillId="0" borderId="0" xfId="0" applyFont="1" applyBorder="1" applyAlignment="1">
      <alignment vertical="top"/>
    </xf>
    <xf numFmtId="0" fontId="20" fillId="0" borderId="0" xfId="0" applyFont="1" applyBorder="1" applyAlignment="1">
      <alignment horizontal="right" vertical="top"/>
    </xf>
    <xf numFmtId="0" fontId="8" fillId="0" borderId="1" xfId="0" applyFont="1" applyFill="1" applyBorder="1" applyAlignment="1">
      <alignment vertical="top"/>
    </xf>
    <xf numFmtId="0" fontId="8" fillId="0" borderId="4" xfId="0" applyFont="1" applyFill="1" applyBorder="1" applyAlignment="1">
      <alignment horizontal="center" vertical="top"/>
    </xf>
    <xf numFmtId="0" fontId="7" fillId="0" borderId="16" xfId="0" applyFont="1" applyBorder="1" applyAlignment="1">
      <alignment vertical="top"/>
    </xf>
    <xf numFmtId="0" fontId="7" fillId="0" borderId="29" xfId="0" applyFont="1" applyBorder="1"/>
    <xf numFmtId="0" fontId="7" fillId="0" borderId="30" xfId="0" applyFont="1" applyBorder="1"/>
    <xf numFmtId="0" fontId="7" fillId="0" borderId="31" xfId="0" applyFont="1" applyBorder="1"/>
    <xf numFmtId="0" fontId="7" fillId="0" borderId="33" xfId="0" applyFont="1" applyBorder="1"/>
    <xf numFmtId="0" fontId="7" fillId="0" borderId="35" xfId="0" applyFont="1" applyBorder="1"/>
    <xf numFmtId="0" fontId="16" fillId="2" borderId="22" xfId="0" applyFont="1" applyFill="1" applyBorder="1" applyAlignment="1">
      <alignment horizontal="left"/>
    </xf>
    <xf numFmtId="0" fontId="8" fillId="0" borderId="0" xfId="0" applyFont="1" applyBorder="1" applyAlignment="1">
      <alignment horizontal="left" vertical="top"/>
    </xf>
    <xf numFmtId="0" fontId="8" fillId="0" borderId="1" xfId="0" applyFont="1" applyBorder="1" applyAlignment="1">
      <alignment horizontal="right"/>
    </xf>
    <xf numFmtId="0" fontId="8" fillId="0" borderId="2" xfId="0" applyFont="1" applyBorder="1" applyAlignment="1">
      <alignment vertical="top"/>
    </xf>
    <xf numFmtId="0" fontId="17" fillId="0" borderId="2" xfId="0" applyFont="1" applyBorder="1"/>
    <xf numFmtId="0" fontId="7" fillId="0" borderId="36" xfId="0" applyFont="1" applyBorder="1"/>
    <xf numFmtId="0" fontId="7" fillId="0" borderId="37" xfId="0" applyFont="1" applyBorder="1"/>
    <xf numFmtId="0" fontId="7" fillId="0" borderId="37" xfId="0" applyFont="1" applyFill="1" applyBorder="1"/>
    <xf numFmtId="0" fontId="8" fillId="0" borderId="4" xfId="0" applyFont="1" applyBorder="1" applyAlignment="1">
      <alignment vertical="top"/>
    </xf>
    <xf numFmtId="0" fontId="8" fillId="0" borderId="0" xfId="0" applyFont="1" applyFill="1" applyBorder="1" applyAlignment="1">
      <alignment vertical="top" wrapText="1"/>
    </xf>
    <xf numFmtId="0" fontId="8" fillId="0" borderId="1" xfId="0" applyFont="1" applyBorder="1" applyAlignment="1">
      <alignment horizontal="left" vertical="top"/>
    </xf>
    <xf numFmtId="0" fontId="22" fillId="0" borderId="13" xfId="0" applyFont="1" applyBorder="1" applyAlignment="1">
      <alignment horizontal="center" vertical="center"/>
    </xf>
    <xf numFmtId="166" fontId="22" fillId="0" borderId="13" xfId="0" applyNumberFormat="1" applyFont="1" applyFill="1" applyBorder="1" applyAlignment="1">
      <alignment horizontal="center" vertical="center"/>
    </xf>
    <xf numFmtId="0" fontId="22" fillId="0" borderId="3" xfId="0" applyFont="1" applyBorder="1" applyAlignment="1">
      <alignment horizontal="center" vertical="center"/>
    </xf>
    <xf numFmtId="0" fontId="8" fillId="0" borderId="3" xfId="0" applyFont="1" applyBorder="1" applyAlignment="1">
      <alignment horizontal="center"/>
    </xf>
    <xf numFmtId="0" fontId="33" fillId="2" borderId="20" xfId="0" applyFont="1" applyFill="1" applyBorder="1" applyAlignment="1"/>
    <xf numFmtId="0" fontId="33" fillId="2" borderId="0" xfId="0" applyFont="1" applyFill="1" applyBorder="1" applyAlignment="1">
      <alignment vertical="top"/>
    </xf>
    <xf numFmtId="0" fontId="8" fillId="0" borderId="5" xfId="0" applyFont="1" applyBorder="1"/>
    <xf numFmtId="0" fontId="16" fillId="0" borderId="22" xfId="0" applyFont="1" applyFill="1" applyBorder="1" applyAlignment="1"/>
    <xf numFmtId="0" fontId="8" fillId="0" borderId="7" xfId="0" applyFont="1" applyFill="1" applyBorder="1" applyAlignment="1">
      <alignment horizontal="right"/>
    </xf>
    <xf numFmtId="0" fontId="7" fillId="0" borderId="7" xfId="0" applyFont="1" applyFill="1" applyBorder="1"/>
    <xf numFmtId="0" fontId="16" fillId="0" borderId="7" xfId="0" applyFont="1" applyFill="1" applyBorder="1" applyAlignment="1">
      <alignment horizontal="center"/>
    </xf>
    <xf numFmtId="0" fontId="8" fillId="0" borderId="7" xfId="0" applyFont="1" applyFill="1" applyBorder="1" applyAlignment="1">
      <alignment horizontal="right" vertical="top"/>
    </xf>
    <xf numFmtId="0" fontId="8" fillId="0" borderId="7" xfId="0" applyFont="1" applyFill="1" applyBorder="1"/>
    <xf numFmtId="0" fontId="8" fillId="0" borderId="7" xfId="0" applyFont="1" applyFill="1" applyBorder="1" applyAlignment="1">
      <alignment horizontal="center"/>
    </xf>
    <xf numFmtId="0" fontId="8" fillId="0" borderId="7" xfId="0" applyFont="1" applyFill="1" applyBorder="1" applyAlignment="1">
      <alignment vertical="top"/>
    </xf>
    <xf numFmtId="0" fontId="7" fillId="0" borderId="7" xfId="0" applyFont="1" applyFill="1" applyBorder="1" applyAlignment="1">
      <alignment vertical="top"/>
    </xf>
    <xf numFmtId="0" fontId="7" fillId="0" borderId="38" xfId="0" applyFont="1" applyFill="1" applyBorder="1"/>
    <xf numFmtId="0" fontId="27" fillId="0" borderId="31" xfId="0" applyFont="1" applyBorder="1" applyAlignment="1">
      <alignment vertical="top"/>
    </xf>
    <xf numFmtId="0" fontId="27" fillId="0" borderId="0" xfId="0" applyFont="1" applyBorder="1" applyAlignment="1">
      <alignment vertical="top"/>
    </xf>
    <xf numFmtId="0" fontId="27" fillId="0" borderId="26" xfId="0" applyFont="1" applyBorder="1" applyAlignment="1">
      <alignment vertical="top"/>
    </xf>
    <xf numFmtId="0" fontId="0" fillId="0" borderId="2" xfId="0" applyFill="1" applyBorder="1" applyAlignment="1">
      <alignment vertical="center" wrapText="1"/>
    </xf>
    <xf numFmtId="0" fontId="0" fillId="0" borderId="0" xfId="0" applyFill="1" applyBorder="1" applyAlignment="1">
      <alignment vertical="center" wrapText="1"/>
    </xf>
    <xf numFmtId="0" fontId="8" fillId="0" borderId="5" xfId="0" applyFont="1" applyBorder="1" applyAlignment="1">
      <alignment vertical="top"/>
    </xf>
    <xf numFmtId="0" fontId="33" fillId="2" borderId="0" xfId="0" applyFont="1" applyFill="1" applyBorder="1" applyAlignment="1">
      <alignment horizontal="left" vertical="top"/>
    </xf>
    <xf numFmtId="0" fontId="33" fillId="2" borderId="20" xfId="0" applyFont="1" applyFill="1" applyBorder="1" applyAlignment="1">
      <alignment vertical="top"/>
    </xf>
    <xf numFmtId="0" fontId="7" fillId="2" borderId="19" xfId="0" applyFont="1" applyFill="1" applyBorder="1"/>
    <xf numFmtId="0" fontId="7" fillId="2" borderId="25" xfId="0" applyFont="1" applyFill="1" applyBorder="1"/>
    <xf numFmtId="0" fontId="8" fillId="2" borderId="24" xfId="0" applyFont="1" applyFill="1" applyBorder="1"/>
    <xf numFmtId="0" fontId="8" fillId="0" borderId="4" xfId="0" applyFont="1" applyFill="1" applyBorder="1" applyAlignment="1">
      <alignment horizontal="left" vertical="top"/>
    </xf>
    <xf numFmtId="0" fontId="8" fillId="0" borderId="4" xfId="0" applyFont="1" applyBorder="1" applyAlignment="1">
      <alignment horizontal="left" vertical="top"/>
    </xf>
    <xf numFmtId="0" fontId="16" fillId="0" borderId="0" xfId="0" applyFont="1" applyFill="1" applyBorder="1" applyAlignment="1">
      <alignment horizontal="center"/>
    </xf>
    <xf numFmtId="0" fontId="19" fillId="0" borderId="0" xfId="0" applyFont="1" applyFill="1" applyBorder="1" applyAlignment="1">
      <alignment horizontal="center" wrapText="1"/>
    </xf>
    <xf numFmtId="0" fontId="7" fillId="0" borderId="0" xfId="0" applyFont="1" applyFill="1" applyBorder="1" applyAlignment="1"/>
    <xf numFmtId="0" fontId="7" fillId="2" borderId="0" xfId="0" applyFont="1" applyFill="1"/>
    <xf numFmtId="0" fontId="33" fillId="2" borderId="2" xfId="0" applyFont="1" applyFill="1" applyBorder="1" applyAlignment="1">
      <alignment vertical="top"/>
    </xf>
    <xf numFmtId="0" fontId="23" fillId="0" borderId="1" xfId="0" applyFont="1" applyBorder="1" applyAlignment="1">
      <alignment vertical="top"/>
    </xf>
    <xf numFmtId="0" fontId="8" fillId="0" borderId="0" xfId="0" applyFont="1" applyBorder="1" applyAlignment="1">
      <alignment horizontal="left" vertical="top"/>
    </xf>
    <xf numFmtId="0" fontId="23" fillId="0" borderId="9" xfId="0" applyFont="1" applyBorder="1" applyAlignment="1">
      <alignment vertical="top"/>
    </xf>
    <xf numFmtId="0" fontId="7" fillId="0" borderId="26" xfId="0" applyFont="1" applyBorder="1" applyAlignment="1">
      <alignment wrapText="1"/>
    </xf>
    <xf numFmtId="0" fontId="7" fillId="0" borderId="38" xfId="0" applyFont="1" applyBorder="1"/>
    <xf numFmtId="0" fontId="8" fillId="0" borderId="10" xfId="0" applyFont="1" applyBorder="1" applyAlignment="1">
      <alignment horizontal="right"/>
    </xf>
    <xf numFmtId="0" fontId="8" fillId="0" borderId="0" xfId="0" applyFont="1"/>
    <xf numFmtId="0" fontId="8" fillId="0" borderId="25" xfId="0" applyFont="1" applyBorder="1"/>
    <xf numFmtId="0" fontId="33" fillId="2" borderId="0" xfId="0" applyFont="1" applyFill="1" applyBorder="1" applyAlignment="1">
      <alignment vertical="center"/>
    </xf>
    <xf numFmtId="0" fontId="7" fillId="0" borderId="41" xfId="0" applyFont="1" applyBorder="1"/>
    <xf numFmtId="0" fontId="0" fillId="0" borderId="16" xfId="0" applyFill="1" applyBorder="1" applyAlignment="1">
      <alignment vertical="center" wrapText="1"/>
    </xf>
    <xf numFmtId="0" fontId="8" fillId="0" borderId="1" xfId="0" applyFont="1" applyBorder="1" applyAlignment="1">
      <alignment horizontal="left"/>
    </xf>
    <xf numFmtId="0" fontId="8" fillId="0" borderId="10" xfId="0" applyFont="1" applyBorder="1"/>
    <xf numFmtId="0" fontId="24" fillId="4" borderId="9" xfId="0" applyFont="1" applyFill="1" applyBorder="1"/>
    <xf numFmtId="0" fontId="7" fillId="4" borderId="9" xfId="0" applyFont="1" applyFill="1" applyBorder="1"/>
    <xf numFmtId="0" fontId="7" fillId="4" borderId="10" xfId="0" applyFont="1" applyFill="1" applyBorder="1"/>
    <xf numFmtId="0" fontId="7" fillId="4" borderId="1" xfId="0" applyFont="1" applyFill="1" applyBorder="1" applyAlignment="1">
      <alignment horizontal="right"/>
    </xf>
    <xf numFmtId="0" fontId="8" fillId="0" borderId="2" xfId="0" applyFont="1" applyBorder="1" applyAlignment="1">
      <alignment horizontal="center"/>
    </xf>
    <xf numFmtId="166" fontId="22" fillId="0" borderId="2" xfId="0" applyNumberFormat="1" applyFont="1" applyFill="1" applyBorder="1" applyAlignment="1">
      <alignment horizontal="center" vertical="center"/>
    </xf>
    <xf numFmtId="0" fontId="22" fillId="0" borderId="2" xfId="0" applyFont="1" applyBorder="1" applyAlignment="1">
      <alignment vertical="center" wrapText="1"/>
    </xf>
    <xf numFmtId="164" fontId="22" fillId="0" borderId="2" xfId="1" applyNumberFormat="1" applyFont="1" applyBorder="1" applyAlignment="1">
      <alignment vertical="center" wrapText="1"/>
    </xf>
    <xf numFmtId="0" fontId="22" fillId="0" borderId="2" xfId="0" applyFont="1" applyFill="1" applyBorder="1" applyAlignment="1">
      <alignment horizontal="center" vertical="center"/>
    </xf>
    <xf numFmtId="44" fontId="32" fillId="0" borderId="2" xfId="2" applyNumberFormat="1" applyFont="1" applyFill="1" applyBorder="1" applyAlignment="1">
      <alignment vertical="center" wrapText="1"/>
    </xf>
    <xf numFmtId="44" fontId="0" fillId="0" borderId="2" xfId="2" applyNumberFormat="1" applyFont="1" applyFill="1" applyBorder="1" applyAlignment="1">
      <alignment vertical="center" wrapText="1"/>
    </xf>
    <xf numFmtId="44" fontId="0" fillId="0" borderId="6" xfId="2" applyNumberFormat="1" applyFont="1" applyFill="1" applyBorder="1" applyAlignment="1">
      <alignment vertical="center" wrapText="1"/>
    </xf>
    <xf numFmtId="0" fontId="22" fillId="0" borderId="0" xfId="0" applyFont="1" applyFill="1" applyBorder="1" applyAlignment="1">
      <alignment vertical="center" wrapText="1"/>
    </xf>
    <xf numFmtId="0" fontId="0" fillId="0" borderId="2" xfId="0" applyBorder="1" applyAlignment="1">
      <alignment vertical="center" wrapText="1"/>
    </xf>
    <xf numFmtId="0" fontId="0" fillId="0" borderId="2" xfId="0" applyFont="1" applyBorder="1" applyAlignment="1">
      <alignment vertical="center" wrapText="1"/>
    </xf>
    <xf numFmtId="164" fontId="0" fillId="0" borderId="2" xfId="1" applyNumberFormat="1" applyFont="1" applyBorder="1" applyAlignment="1">
      <alignment vertical="center" wrapText="1"/>
    </xf>
    <xf numFmtId="0" fontId="7" fillId="0" borderId="2" xfId="0" applyFont="1" applyBorder="1" applyAlignment="1">
      <alignment horizontal="center"/>
    </xf>
    <xf numFmtId="0" fontId="0" fillId="0" borderId="2" xfId="0" applyFill="1" applyBorder="1" applyAlignment="1">
      <alignment horizontal="center" vertical="center"/>
    </xf>
    <xf numFmtId="0" fontId="0" fillId="0" borderId="7" xfId="0" applyFill="1" applyBorder="1" applyAlignment="1">
      <alignment vertical="center" wrapText="1"/>
    </xf>
    <xf numFmtId="0" fontId="25" fillId="0" borderId="2" xfId="0" applyFont="1" applyFill="1" applyBorder="1" applyAlignment="1">
      <alignment vertical="center" wrapText="1"/>
    </xf>
    <xf numFmtId="0" fontId="9" fillId="0" borderId="2" xfId="0" applyFont="1" applyBorder="1" applyAlignment="1">
      <alignment horizontal="center"/>
    </xf>
    <xf numFmtId="0" fontId="9" fillId="0" borderId="1" xfId="0" applyFont="1" applyBorder="1" applyAlignment="1">
      <alignment horizontal="center"/>
    </xf>
    <xf numFmtId="2" fontId="0" fillId="0" borderId="0" xfId="0" applyNumberFormat="1"/>
    <xf numFmtId="0" fontId="3" fillId="0" borderId="16" xfId="0" applyFont="1" applyBorder="1" applyAlignment="1">
      <alignment vertical="top"/>
    </xf>
    <xf numFmtId="0" fontId="41" fillId="0" borderId="2" xfId="0" applyFont="1" applyBorder="1"/>
    <xf numFmtId="0" fontId="41" fillId="0" borderId="0" xfId="0" applyFont="1" applyBorder="1" applyAlignment="1">
      <alignment vertical="top"/>
    </xf>
    <xf numFmtId="0" fontId="41" fillId="0" borderId="0" xfId="0" applyFont="1" applyBorder="1"/>
    <xf numFmtId="0" fontId="41" fillId="0" borderId="16" xfId="0" applyFont="1" applyBorder="1"/>
    <xf numFmtId="0" fontId="41" fillId="0" borderId="16" xfId="0" applyFont="1" applyBorder="1" applyAlignment="1">
      <alignment vertical="top"/>
    </xf>
    <xf numFmtId="0" fontId="41" fillId="0" borderId="1" xfId="0" applyFont="1" applyBorder="1"/>
    <xf numFmtId="0" fontId="3" fillId="0" borderId="29" xfId="0" applyFont="1" applyBorder="1" applyAlignment="1">
      <alignment horizontal="left"/>
    </xf>
    <xf numFmtId="0" fontId="7" fillId="0" borderId="42" xfId="0" applyFont="1" applyBorder="1"/>
    <xf numFmtId="0" fontId="7" fillId="0" borderId="17" xfId="0" applyFont="1" applyBorder="1"/>
    <xf numFmtId="0" fontId="22" fillId="0" borderId="0" xfId="0" applyFont="1" applyBorder="1" applyAlignment="1">
      <alignment vertical="top"/>
    </xf>
    <xf numFmtId="0" fontId="33" fillId="0" borderId="20" xfId="0" applyFont="1" applyFill="1" applyBorder="1" applyAlignment="1"/>
    <xf numFmtId="0" fontId="33" fillId="0" borderId="0" xfId="0" applyFont="1" applyFill="1" applyBorder="1" applyAlignment="1"/>
    <xf numFmtId="0" fontId="16" fillId="0" borderId="20" xfId="0" applyFont="1" applyFill="1" applyBorder="1" applyAlignment="1"/>
    <xf numFmtId="0" fontId="7" fillId="0" borderId="20" xfId="0" applyFont="1" applyFill="1" applyBorder="1"/>
    <xf numFmtId="0" fontId="8" fillId="0" borderId="20" xfId="0" applyFont="1" applyFill="1" applyBorder="1"/>
    <xf numFmtId="0" fontId="8" fillId="0" borderId="24" xfId="0" applyFont="1" applyFill="1" applyBorder="1"/>
    <xf numFmtId="0" fontId="21" fillId="0" borderId="0" xfId="0" applyFont="1" applyFill="1" applyBorder="1" applyAlignment="1">
      <alignment vertical="top"/>
    </xf>
    <xf numFmtId="0" fontId="7" fillId="0" borderId="26" xfId="0" applyFont="1" applyFill="1" applyBorder="1"/>
    <xf numFmtId="0" fontId="20" fillId="0" borderId="3" xfId="0" applyFont="1" applyFill="1" applyBorder="1" applyAlignment="1">
      <alignment horizontal="center" vertical="center" wrapText="1"/>
    </xf>
    <xf numFmtId="0" fontId="8" fillId="0" borderId="3" xfId="0" applyFont="1" applyBorder="1" applyAlignment="1">
      <alignment vertical="top" wrapText="1"/>
    </xf>
    <xf numFmtId="0" fontId="20" fillId="0" borderId="3" xfId="0" applyFont="1" applyFill="1" applyBorder="1" applyAlignment="1"/>
    <xf numFmtId="0" fontId="7" fillId="0" borderId="3" xfId="0" applyFont="1" applyBorder="1"/>
    <xf numFmtId="0" fontId="8" fillId="0" borderId="11" xfId="0" applyFont="1" applyBorder="1" applyAlignment="1">
      <alignment vertical="top" wrapText="1"/>
    </xf>
    <xf numFmtId="0" fontId="8" fillId="0" borderId="4" xfId="0" applyFont="1" applyBorder="1" applyAlignment="1">
      <alignment vertical="top" wrapText="1"/>
    </xf>
    <xf numFmtId="0" fontId="20" fillId="0" borderId="5" xfId="0" applyFont="1" applyFill="1" applyBorder="1" applyAlignment="1"/>
    <xf numFmtId="0" fontId="20" fillId="0" borderId="1" xfId="0" applyFont="1" applyFill="1" applyBorder="1" applyAlignment="1"/>
    <xf numFmtId="0" fontId="8" fillId="0" borderId="1" xfId="0" applyFont="1" applyBorder="1" applyAlignment="1">
      <alignment vertical="top" wrapText="1"/>
    </xf>
    <xf numFmtId="0" fontId="8" fillId="0" borderId="3" xfId="0" applyFont="1" applyBorder="1" applyAlignment="1">
      <alignment vertical="top"/>
    </xf>
    <xf numFmtId="0" fontId="8" fillId="0" borderId="3" xfId="0" applyFont="1" applyBorder="1"/>
    <xf numFmtId="0" fontId="20" fillId="0" borderId="9" xfId="0" applyFont="1" applyFill="1" applyBorder="1" applyAlignment="1"/>
    <xf numFmtId="0" fontId="8" fillId="0" borderId="11" xfId="0" applyFont="1" applyBorder="1"/>
    <xf numFmtId="0" fontId="8" fillId="0" borderId="43" xfId="0" applyFont="1" applyBorder="1" applyAlignment="1">
      <alignment vertical="top" wrapText="1"/>
    </xf>
    <xf numFmtId="0" fontId="7" fillId="0" borderId="43" xfId="0" applyFont="1" applyBorder="1"/>
    <xf numFmtId="0" fontId="20" fillId="0" borderId="44" xfId="0" applyFont="1" applyFill="1" applyBorder="1" applyAlignment="1"/>
    <xf numFmtId="0" fontId="7" fillId="0" borderId="44" xfId="0" applyFont="1" applyBorder="1"/>
    <xf numFmtId="0" fontId="7" fillId="0" borderId="45" xfId="0" applyFont="1" applyBorder="1"/>
    <xf numFmtId="0" fontId="8" fillId="0" borderId="46" xfId="0" applyFont="1" applyBorder="1" applyAlignment="1">
      <alignment vertical="top" wrapText="1"/>
    </xf>
    <xf numFmtId="0" fontId="8" fillId="0" borderId="47" xfId="0" applyFont="1" applyBorder="1" applyAlignment="1">
      <alignment vertical="top" wrapText="1"/>
    </xf>
    <xf numFmtId="0" fontId="8" fillId="0" borderId="46" xfId="0" applyFont="1" applyBorder="1"/>
    <xf numFmtId="0" fontId="7" fillId="0" borderId="47" xfId="0" applyFont="1" applyBorder="1"/>
    <xf numFmtId="0" fontId="8" fillId="0" borderId="48" xfId="0" applyFont="1" applyBorder="1" applyAlignment="1">
      <alignment vertical="top" wrapText="1"/>
    </xf>
    <xf numFmtId="0" fontId="8" fillId="0" borderId="50" xfId="0" applyFont="1" applyBorder="1" applyAlignment="1">
      <alignment vertical="top" wrapText="1"/>
    </xf>
    <xf numFmtId="0" fontId="8" fillId="0" borderId="51" xfId="0" applyFont="1" applyBorder="1" applyAlignment="1">
      <alignment vertical="top" wrapText="1"/>
    </xf>
    <xf numFmtId="0" fontId="8" fillId="0" borderId="52" xfId="0" applyFont="1" applyBorder="1" applyAlignment="1">
      <alignment vertical="top" wrapText="1"/>
    </xf>
    <xf numFmtId="0" fontId="20" fillId="0" borderId="7" xfId="0" applyFont="1" applyFill="1" applyBorder="1" applyAlignment="1"/>
    <xf numFmtId="0" fontId="20" fillId="0" borderId="3" xfId="0" applyFont="1" applyBorder="1" applyAlignment="1">
      <alignment horizontal="center" vertical="center" wrapText="1"/>
    </xf>
    <xf numFmtId="0" fontId="20" fillId="0" borderId="11" xfId="0" applyFont="1" applyBorder="1" applyAlignment="1">
      <alignment horizontal="center" vertical="center" wrapText="1"/>
    </xf>
    <xf numFmtId="0" fontId="43" fillId="0" borderId="43" xfId="0" applyFont="1" applyBorder="1" applyAlignment="1">
      <alignment horizontal="center" vertical="center" wrapText="1"/>
    </xf>
    <xf numFmtId="0" fontId="7" fillId="0" borderId="19" xfId="0" applyFont="1" applyBorder="1"/>
    <xf numFmtId="0" fontId="20" fillId="0" borderId="3" xfId="0" applyFont="1" applyFill="1" applyBorder="1" applyAlignment="1">
      <alignment horizontal="center" vertical="center"/>
    </xf>
    <xf numFmtId="0" fontId="33" fillId="0" borderId="19" xfId="0" applyFont="1" applyFill="1" applyBorder="1" applyAlignment="1"/>
    <xf numFmtId="0" fontId="33" fillId="0" borderId="25" xfId="0" applyFont="1" applyFill="1" applyBorder="1" applyAlignment="1"/>
    <xf numFmtId="0" fontId="7" fillId="0" borderId="25" xfId="0" applyFont="1" applyBorder="1" applyAlignment="1">
      <alignment vertical="top"/>
    </xf>
    <xf numFmtId="0" fontId="7" fillId="0" borderId="27" xfId="0" applyFont="1" applyBorder="1" applyAlignment="1">
      <alignment vertical="top"/>
    </xf>
    <xf numFmtId="0" fontId="32" fillId="0" borderId="2" xfId="0" applyFont="1" applyFill="1" applyBorder="1" applyAlignment="1">
      <alignment vertical="center" wrapText="1"/>
    </xf>
    <xf numFmtId="0" fontId="32" fillId="0" borderId="0" xfId="0" applyFont="1"/>
    <xf numFmtId="0" fontId="32" fillId="0" borderId="0" xfId="0" applyFont="1" applyBorder="1"/>
    <xf numFmtId="0" fontId="32" fillId="0" borderId="1" xfId="0" applyFont="1" applyBorder="1"/>
    <xf numFmtId="0" fontId="7" fillId="0" borderId="53" xfId="0" applyFont="1" applyBorder="1"/>
    <xf numFmtId="0" fontId="45" fillId="0" borderId="7" xfId="0" applyFont="1" applyBorder="1" applyAlignment="1">
      <alignment vertical="top"/>
    </xf>
    <xf numFmtId="0" fontId="0" fillId="0" borderId="0" xfId="0" applyAlignment="1">
      <alignment horizontal="center" vertical="top"/>
    </xf>
    <xf numFmtId="0" fontId="0" fillId="6" borderId="0" xfId="0" applyFill="1" applyAlignment="1">
      <alignment horizontal="center" vertical="top"/>
    </xf>
    <xf numFmtId="0" fontId="0" fillId="0" borderId="0" xfId="0" applyFill="1" applyBorder="1" applyAlignment="1">
      <alignment horizontal="center" vertical="top"/>
    </xf>
    <xf numFmtId="0" fontId="7" fillId="0" borderId="1" xfId="0" applyFont="1" applyBorder="1" applyAlignment="1">
      <alignment horizontal="right"/>
    </xf>
    <xf numFmtId="44" fontId="6" fillId="0" borderId="0" xfId="0" applyNumberFormat="1" applyFont="1"/>
    <xf numFmtId="44" fontId="6" fillId="0" borderId="0" xfId="2" applyFont="1"/>
    <xf numFmtId="0" fontId="3" fillId="0" borderId="0" xfId="0" applyFont="1" applyAlignment="1">
      <alignment horizontal="center" vertical="top" wrapText="1"/>
    </xf>
    <xf numFmtId="0" fontId="6" fillId="0" borderId="0" xfId="0" applyFont="1" applyAlignment="1">
      <alignment horizontal="center"/>
    </xf>
    <xf numFmtId="0" fontId="6" fillId="5" borderId="0" xfId="0" applyFont="1" applyFill="1"/>
    <xf numFmtId="2" fontId="6" fillId="0" borderId="0" xfId="0" applyNumberFormat="1" applyFont="1" applyAlignment="1">
      <alignment horizontal="center" vertical="top"/>
    </xf>
    <xf numFmtId="0" fontId="6" fillId="4" borderId="0" xfId="0" applyFont="1" applyFill="1" applyAlignment="1">
      <alignment horizontal="center"/>
    </xf>
    <xf numFmtId="1" fontId="6" fillId="0" borderId="0" xfId="0" applyNumberFormat="1" applyFont="1" applyFill="1" applyAlignment="1">
      <alignment horizontal="center"/>
    </xf>
    <xf numFmtId="164" fontId="6" fillId="0" borderId="0" xfId="1" applyNumberFormat="1" applyFont="1" applyAlignment="1">
      <alignment horizontal="right" vertical="center"/>
    </xf>
    <xf numFmtId="164" fontId="6" fillId="0" borderId="0" xfId="0" applyNumberFormat="1" applyFont="1"/>
    <xf numFmtId="0" fontId="28" fillId="0" borderId="39" xfId="0" applyFont="1" applyBorder="1" applyAlignment="1">
      <alignment vertical="top"/>
    </xf>
    <xf numFmtId="0" fontId="28" fillId="0" borderId="34" xfId="0" applyFont="1" applyBorder="1" applyAlignment="1">
      <alignment vertical="top"/>
    </xf>
    <xf numFmtId="0" fontId="27" fillId="0" borderId="39" xfId="0" applyFont="1" applyBorder="1" applyAlignment="1">
      <alignment vertical="center"/>
    </xf>
    <xf numFmtId="0" fontId="27" fillId="0" borderId="34" xfId="0" applyFont="1" applyBorder="1" applyAlignment="1">
      <alignment vertical="center"/>
    </xf>
    <xf numFmtId="0" fontId="7" fillId="0" borderId="24" xfId="0" applyFont="1" applyBorder="1"/>
    <xf numFmtId="0" fontId="27" fillId="0" borderId="25" xfId="0" applyFont="1" applyBorder="1" applyAlignment="1">
      <alignment vertical="top"/>
    </xf>
    <xf numFmtId="0" fontId="3" fillId="0" borderId="19" xfId="0" applyFont="1" applyBorder="1" applyAlignment="1">
      <alignment horizontal="left"/>
    </xf>
    <xf numFmtId="0" fontId="21" fillId="0" borderId="5" xfId="0" applyFont="1" applyBorder="1" applyAlignment="1">
      <alignment vertical="top"/>
    </xf>
    <xf numFmtId="0" fontId="21" fillId="0" borderId="2" xfId="0" applyFont="1" applyBorder="1" applyAlignment="1">
      <alignment vertical="top"/>
    </xf>
    <xf numFmtId="0" fontId="8" fillId="0" borderId="8" xfId="0" applyFont="1" applyBorder="1" applyAlignment="1">
      <alignment vertical="top" wrapText="1"/>
    </xf>
    <xf numFmtId="0" fontId="1" fillId="3" borderId="0" xfId="0" applyFont="1" applyFill="1" applyAlignment="1">
      <alignment horizontal="center"/>
    </xf>
    <xf numFmtId="0" fontId="43" fillId="0" borderId="47"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6" xfId="0" applyFont="1" applyBorder="1" applyAlignment="1">
      <alignment horizontal="center" vertical="center" wrapText="1"/>
    </xf>
    <xf numFmtId="0" fontId="0" fillId="4" borderId="13" xfId="0" applyFill="1" applyBorder="1" applyAlignment="1">
      <alignment horizontal="right" vertical="center"/>
    </xf>
    <xf numFmtId="0" fontId="8" fillId="0" borderId="54" xfId="0" applyFont="1" applyBorder="1" applyAlignment="1">
      <alignment vertical="top" wrapText="1"/>
    </xf>
    <xf numFmtId="0" fontId="20" fillId="0" borderId="47" xfId="0" applyFont="1" applyBorder="1" applyAlignment="1">
      <alignment horizontal="center" vertical="center" wrapText="1"/>
    </xf>
    <xf numFmtId="0" fontId="8" fillId="0" borderId="47" xfId="0" applyFont="1" applyBorder="1"/>
    <xf numFmtId="0" fontId="8" fillId="0" borderId="1" xfId="0" applyFont="1" applyBorder="1" applyAlignment="1">
      <alignment horizontal="center" vertical="top"/>
    </xf>
    <xf numFmtId="44" fontId="0" fillId="0" borderId="0" xfId="2" applyFont="1" applyFill="1" applyBorder="1"/>
    <xf numFmtId="44" fontId="0" fillId="0" borderId="0" xfId="2" applyFont="1" applyFill="1" applyBorder="1" applyAlignment="1">
      <alignment vertical="top" wrapText="1"/>
    </xf>
    <xf numFmtId="44" fontId="0" fillId="0" borderId="0" xfId="2" applyFont="1" applyFill="1"/>
    <xf numFmtId="44" fontId="0" fillId="0" borderId="0" xfId="2" applyFont="1" applyFill="1" applyAlignment="1">
      <alignment horizontal="center" vertical="top" wrapText="1"/>
    </xf>
    <xf numFmtId="44" fontId="0" fillId="0" borderId="0" xfId="2" applyFont="1" applyFill="1" applyAlignment="1">
      <alignment horizontal="center"/>
    </xf>
    <xf numFmtId="44" fontId="6" fillId="0" borderId="0" xfId="2" applyFont="1" applyFill="1" applyAlignment="1">
      <alignment horizontal="center"/>
    </xf>
    <xf numFmtId="0" fontId="7" fillId="0" borderId="7" xfId="0" applyFont="1" applyBorder="1" applyAlignment="1">
      <alignment vertical="center"/>
    </xf>
    <xf numFmtId="0" fontId="23" fillId="0" borderId="0" xfId="0" applyFont="1" applyFill="1" applyBorder="1" applyAlignment="1">
      <alignment vertical="top"/>
    </xf>
    <xf numFmtId="0" fontId="41" fillId="0" borderId="0" xfId="0" applyFont="1" applyFill="1" applyBorder="1"/>
    <xf numFmtId="0" fontId="32" fillId="0" borderId="0" xfId="0" applyFont="1" applyFill="1" applyBorder="1"/>
    <xf numFmtId="0" fontId="7" fillId="0" borderId="0" xfId="0" applyFont="1" applyFill="1" applyBorder="1" applyAlignment="1">
      <alignment vertical="top"/>
    </xf>
    <xf numFmtId="0" fontId="7" fillId="0" borderId="1" xfId="0" applyFont="1" applyFill="1" applyBorder="1" applyAlignment="1">
      <alignment horizontal="right" vertical="top"/>
    </xf>
    <xf numFmtId="0" fontId="32" fillId="0" borderId="3" xfId="0" applyFont="1" applyFill="1" applyBorder="1" applyAlignment="1">
      <alignment wrapText="1"/>
    </xf>
    <xf numFmtId="0" fontId="32" fillId="0" borderId="3" xfId="0" applyFont="1" applyFill="1" applyBorder="1" applyAlignment="1">
      <alignment horizontal="right" wrapText="1"/>
    </xf>
    <xf numFmtId="165" fontId="0" fillId="0" borderId="3" xfId="0" applyNumberFormat="1" applyFill="1" applyBorder="1" applyAlignment="1">
      <alignment vertical="center"/>
    </xf>
    <xf numFmtId="0" fontId="8" fillId="0" borderId="0" xfId="0" applyFont="1" applyBorder="1" applyAlignment="1">
      <alignment horizontal="left" vertical="top" wrapText="1"/>
    </xf>
    <xf numFmtId="0" fontId="8" fillId="0" borderId="8" xfId="0" applyFont="1" applyBorder="1" applyAlignment="1">
      <alignment horizontal="left" vertical="top" wrapText="1"/>
    </xf>
    <xf numFmtId="44" fontId="0" fillId="0" borderId="11" xfId="2" applyNumberFormat="1" applyFont="1" applyFill="1" applyBorder="1" applyAlignment="1">
      <alignment horizontal="center" vertical="center" wrapText="1"/>
    </xf>
    <xf numFmtId="44" fontId="0" fillId="0" borderId="12" xfId="2" applyNumberFormat="1" applyFont="1" applyFill="1" applyBorder="1" applyAlignment="1">
      <alignment horizontal="center" vertical="center" wrapText="1"/>
    </xf>
    <xf numFmtId="0" fontId="24" fillId="0" borderId="5" xfId="0" applyFont="1" applyFill="1" applyBorder="1" applyAlignment="1">
      <alignment horizontal="center" wrapText="1"/>
    </xf>
    <xf numFmtId="0" fontId="24" fillId="0" borderId="6" xfId="0" applyFont="1" applyFill="1" applyBorder="1" applyAlignment="1">
      <alignment horizontal="center" wrapText="1"/>
    </xf>
    <xf numFmtId="0" fontId="24" fillId="0" borderId="7" xfId="0" applyFont="1" applyFill="1" applyBorder="1" applyAlignment="1">
      <alignment horizontal="center" wrapText="1"/>
    </xf>
    <xf numFmtId="0" fontId="24" fillId="0" borderId="8" xfId="0" applyFont="1" applyFill="1" applyBorder="1" applyAlignment="1">
      <alignment horizontal="center" wrapText="1"/>
    </xf>
    <xf numFmtId="0" fontId="24" fillId="0" borderId="9" xfId="0" applyFont="1" applyFill="1" applyBorder="1" applyAlignment="1">
      <alignment horizontal="center" wrapText="1"/>
    </xf>
    <xf numFmtId="0" fontId="24" fillId="0" borderId="10" xfId="0" applyFont="1" applyFill="1" applyBorder="1" applyAlignment="1">
      <alignment horizontal="center" wrapText="1"/>
    </xf>
    <xf numFmtId="0" fontId="46" fillId="0" borderId="5" xfId="0" applyFont="1" applyFill="1" applyBorder="1" applyAlignment="1">
      <alignment horizontal="center" wrapText="1"/>
    </xf>
    <xf numFmtId="0" fontId="46" fillId="0" borderId="6" xfId="0" applyFont="1" applyFill="1" applyBorder="1" applyAlignment="1">
      <alignment horizontal="center" wrapText="1"/>
    </xf>
    <xf numFmtId="0" fontId="46" fillId="0" borderId="7" xfId="0" applyFont="1" applyFill="1" applyBorder="1" applyAlignment="1">
      <alignment horizontal="center" wrapText="1"/>
    </xf>
    <xf numFmtId="0" fontId="46" fillId="0" borderId="8" xfId="0" applyFont="1" applyFill="1" applyBorder="1" applyAlignment="1">
      <alignment horizontal="center" wrapText="1"/>
    </xf>
    <xf numFmtId="0" fontId="46" fillId="0" borderId="9" xfId="0" applyFont="1" applyFill="1" applyBorder="1" applyAlignment="1">
      <alignment horizontal="center" wrapText="1"/>
    </xf>
    <xf numFmtId="0" fontId="46" fillId="0" borderId="10" xfId="0" applyFont="1" applyFill="1" applyBorder="1" applyAlignment="1">
      <alignment horizontal="center" wrapText="1"/>
    </xf>
    <xf numFmtId="0" fontId="39" fillId="0" borderId="5" xfId="0" applyFont="1" applyFill="1" applyBorder="1" applyAlignment="1">
      <alignment horizontal="center" vertical="top"/>
    </xf>
    <xf numFmtId="0" fontId="39" fillId="0" borderId="6" xfId="0" applyFont="1" applyFill="1" applyBorder="1" applyAlignment="1">
      <alignment horizontal="center" vertical="top"/>
    </xf>
    <xf numFmtId="0" fontId="20" fillId="0" borderId="7" xfId="0" applyFont="1" applyFill="1" applyBorder="1" applyAlignment="1">
      <alignment horizontal="center"/>
    </xf>
    <xf numFmtId="0" fontId="38" fillId="0" borderId="8" xfId="0" applyFont="1" applyFill="1" applyBorder="1" applyAlignment="1">
      <alignment horizontal="center"/>
    </xf>
    <xf numFmtId="0" fontId="24" fillId="10" borderId="5" xfId="0" applyFont="1" applyFill="1" applyBorder="1" applyAlignment="1">
      <alignment horizontal="center" wrapText="1"/>
    </xf>
    <xf numFmtId="0" fontId="24" fillId="10" borderId="2" xfId="0" applyFont="1" applyFill="1" applyBorder="1" applyAlignment="1">
      <alignment horizontal="center" wrapText="1"/>
    </xf>
    <xf numFmtId="0" fontId="24" fillId="10" borderId="7" xfId="0" applyFont="1" applyFill="1" applyBorder="1" applyAlignment="1">
      <alignment horizontal="center" wrapText="1"/>
    </xf>
    <xf numFmtId="0" fontId="24" fillId="10" borderId="0" xfId="0" applyFont="1" applyFill="1" applyBorder="1" applyAlignment="1">
      <alignment horizontal="center" wrapText="1"/>
    </xf>
    <xf numFmtId="0" fontId="24" fillId="10" borderId="9" xfId="0" applyFont="1" applyFill="1" applyBorder="1" applyAlignment="1">
      <alignment horizontal="center" wrapText="1"/>
    </xf>
    <xf numFmtId="0" fontId="24" fillId="10" borderId="1" xfId="0" applyFont="1" applyFill="1" applyBorder="1" applyAlignment="1">
      <alignment horizontal="center" wrapText="1"/>
    </xf>
    <xf numFmtId="44" fontId="0" fillId="10" borderId="11" xfId="2" applyNumberFormat="1" applyFont="1" applyFill="1" applyBorder="1" applyAlignment="1">
      <alignment horizontal="center" vertical="center" wrapText="1"/>
    </xf>
    <xf numFmtId="44" fontId="0" fillId="10" borderId="54" xfId="2" applyNumberFormat="1"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164" fontId="0" fillId="0" borderId="11" xfId="1" applyNumberFormat="1" applyFont="1" applyBorder="1" applyAlignment="1">
      <alignment horizontal="center" vertical="center" wrapText="1"/>
    </xf>
    <xf numFmtId="164" fontId="0" fillId="0" borderId="12" xfId="1" applyNumberFormat="1" applyFont="1" applyBorder="1" applyAlignment="1">
      <alignment horizontal="center" vertical="center" wrapText="1"/>
    </xf>
    <xf numFmtId="0" fontId="34" fillId="0" borderId="2"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 xfId="0" applyFont="1" applyBorder="1" applyAlignment="1">
      <alignment horizontal="center" vertical="center" wrapText="1"/>
    </xf>
    <xf numFmtId="0" fontId="8" fillId="0" borderId="2" xfId="0" applyFont="1" applyBorder="1" applyAlignment="1">
      <alignment horizontal="center" vertical="top"/>
    </xf>
    <xf numFmtId="0" fontId="8" fillId="0" borderId="6" xfId="0" applyFont="1" applyBorder="1" applyAlignment="1">
      <alignment horizontal="center" vertical="top"/>
    </xf>
    <xf numFmtId="0" fontId="8" fillId="0" borderId="0" xfId="0" applyFont="1" applyBorder="1" applyAlignment="1">
      <alignment horizontal="center" vertical="top"/>
    </xf>
    <xf numFmtId="0" fontId="8" fillId="0" borderId="8" xfId="0" applyFont="1" applyBorder="1" applyAlignment="1">
      <alignment horizontal="center" vertical="top"/>
    </xf>
    <xf numFmtId="0" fontId="8" fillId="0" borderId="1" xfId="0" applyFont="1" applyBorder="1" applyAlignment="1">
      <alignment horizontal="center" vertical="top"/>
    </xf>
    <xf numFmtId="0" fontId="8" fillId="0" borderId="10" xfId="0" applyFont="1" applyBorder="1" applyAlignment="1">
      <alignment horizontal="center" vertical="top"/>
    </xf>
    <xf numFmtId="0" fontId="20" fillId="4" borderId="5" xfId="0" applyFont="1" applyFill="1" applyBorder="1" applyAlignment="1">
      <alignment horizontal="center" wrapText="1"/>
    </xf>
    <xf numFmtId="0" fontId="20" fillId="4" borderId="6" xfId="0" applyFont="1" applyFill="1" applyBorder="1" applyAlignment="1">
      <alignment horizontal="center" wrapText="1"/>
    </xf>
    <xf numFmtId="0" fontId="20" fillId="4" borderId="7" xfId="0" applyFont="1" applyFill="1" applyBorder="1" applyAlignment="1">
      <alignment horizontal="center" wrapText="1"/>
    </xf>
    <xf numFmtId="0" fontId="20" fillId="4" borderId="8" xfId="0" applyFont="1" applyFill="1" applyBorder="1" applyAlignment="1">
      <alignment horizontal="center" wrapText="1"/>
    </xf>
    <xf numFmtId="0" fontId="20" fillId="4" borderId="9" xfId="0" applyFont="1" applyFill="1" applyBorder="1" applyAlignment="1">
      <alignment horizontal="center" wrapText="1"/>
    </xf>
    <xf numFmtId="0" fontId="20" fillId="4" borderId="10" xfId="0" applyFont="1" applyFill="1" applyBorder="1" applyAlignment="1">
      <alignment horizontal="center" wrapText="1"/>
    </xf>
    <xf numFmtId="0" fontId="20" fillId="4" borderId="14" xfId="0" applyFont="1" applyFill="1" applyBorder="1" applyAlignment="1">
      <alignment horizontal="center" wrapText="1"/>
    </xf>
    <xf numFmtId="0" fontId="20" fillId="4" borderId="15" xfId="0" applyFont="1" applyFill="1" applyBorder="1" applyAlignment="1">
      <alignment horizontal="center" wrapText="1"/>
    </xf>
    <xf numFmtId="0" fontId="20" fillId="4" borderId="13" xfId="0" applyFont="1" applyFill="1" applyBorder="1" applyAlignment="1">
      <alignment horizontal="center" wrapText="1"/>
    </xf>
    <xf numFmtId="0" fontId="26" fillId="4" borderId="14" xfId="0" applyFont="1" applyFill="1" applyBorder="1" applyAlignment="1">
      <alignment horizontal="center" wrapText="1"/>
    </xf>
    <xf numFmtId="0" fontId="26" fillId="4" borderId="15" xfId="0" applyFont="1" applyFill="1" applyBorder="1" applyAlignment="1">
      <alignment horizontal="center" wrapText="1"/>
    </xf>
    <xf numFmtId="0" fontId="26" fillId="4" borderId="13" xfId="0" applyFont="1" applyFill="1" applyBorder="1" applyAlignment="1">
      <alignment horizontal="center" wrapText="1"/>
    </xf>
    <xf numFmtId="0" fontId="20" fillId="4" borderId="5"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5" xfId="0" applyFont="1" applyFill="1" applyBorder="1" applyAlignment="1">
      <alignment horizontal="center"/>
    </xf>
    <xf numFmtId="0" fontId="20" fillId="4" borderId="2" xfId="0" applyFont="1" applyFill="1" applyBorder="1" applyAlignment="1">
      <alignment horizontal="center"/>
    </xf>
    <xf numFmtId="0" fontId="20" fillId="4" borderId="6" xfId="0" applyFont="1" applyFill="1" applyBorder="1" applyAlignment="1">
      <alignment horizontal="center"/>
    </xf>
    <xf numFmtId="0" fontId="20" fillId="4" borderId="7" xfId="0" applyFont="1" applyFill="1" applyBorder="1" applyAlignment="1">
      <alignment horizontal="center"/>
    </xf>
    <xf numFmtId="0" fontId="20" fillId="4" borderId="0" xfId="0" applyFont="1" applyFill="1" applyBorder="1" applyAlignment="1">
      <alignment horizontal="center"/>
    </xf>
    <xf numFmtId="0" fontId="20" fillId="4" borderId="8" xfId="0" applyFont="1" applyFill="1" applyBorder="1" applyAlignment="1">
      <alignment horizontal="center"/>
    </xf>
    <xf numFmtId="0" fontId="20" fillId="4" borderId="9" xfId="0" applyFont="1" applyFill="1" applyBorder="1" applyAlignment="1">
      <alignment horizontal="center"/>
    </xf>
    <xf numFmtId="0" fontId="20" fillId="4" borderId="1" xfId="0" applyFont="1" applyFill="1" applyBorder="1" applyAlignment="1">
      <alignment horizontal="center"/>
    </xf>
    <xf numFmtId="0" fontId="20" fillId="4" borderId="10" xfId="0" applyFont="1" applyFill="1" applyBorder="1" applyAlignment="1">
      <alignment horizontal="center"/>
    </xf>
    <xf numFmtId="0" fontId="20" fillId="4" borderId="2" xfId="0" applyFont="1" applyFill="1" applyBorder="1" applyAlignment="1">
      <alignment horizontal="center" wrapText="1"/>
    </xf>
    <xf numFmtId="0" fontId="20" fillId="4" borderId="0" xfId="0" applyFont="1" applyFill="1" applyBorder="1" applyAlignment="1">
      <alignment horizontal="center" wrapText="1"/>
    </xf>
    <xf numFmtId="0" fontId="20" fillId="4" borderId="1" xfId="0" applyFont="1" applyFill="1" applyBorder="1" applyAlignment="1">
      <alignment horizontal="center" wrapText="1"/>
    </xf>
    <xf numFmtId="44" fontId="32" fillId="4" borderId="11" xfId="2" applyNumberFormat="1" applyFont="1" applyFill="1" applyBorder="1" applyAlignment="1">
      <alignment horizontal="center" vertical="center" wrapText="1"/>
    </xf>
    <xf numFmtId="44" fontId="32" fillId="4" borderId="12" xfId="2" applyNumberFormat="1" applyFont="1" applyFill="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12" xfId="0" applyFont="1" applyBorder="1" applyAlignment="1">
      <alignment horizontal="center" vertical="center" wrapText="1"/>
    </xf>
    <xf numFmtId="0" fontId="19" fillId="4" borderId="5" xfId="0" applyFont="1" applyFill="1" applyBorder="1" applyAlignment="1">
      <alignment horizontal="center" vertical="top" wrapText="1"/>
    </xf>
    <xf numFmtId="0" fontId="19" fillId="4" borderId="6" xfId="0" applyFont="1" applyFill="1" applyBorder="1" applyAlignment="1">
      <alignment horizontal="center" vertical="top" wrapText="1"/>
    </xf>
    <xf numFmtId="0" fontId="19" fillId="4" borderId="7" xfId="0" applyFont="1" applyFill="1" applyBorder="1" applyAlignment="1">
      <alignment horizontal="center" vertical="top" wrapText="1"/>
    </xf>
    <xf numFmtId="0" fontId="19" fillId="4" borderId="8" xfId="0" applyFont="1" applyFill="1" applyBorder="1" applyAlignment="1">
      <alignment horizontal="center" vertical="top" wrapText="1"/>
    </xf>
    <xf numFmtId="0" fontId="9" fillId="0" borderId="2" xfId="0" applyFont="1" applyBorder="1" applyAlignment="1">
      <alignment horizontal="left"/>
    </xf>
    <xf numFmtId="0" fontId="9" fillId="0" borderId="1" xfId="0" applyFont="1" applyBorder="1" applyAlignment="1">
      <alignment horizontal="left"/>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4" xfId="0" applyFont="1" applyFill="1" applyBorder="1" applyAlignment="1">
      <alignment horizontal="center" vertical="center" wrapText="1"/>
    </xf>
    <xf numFmtId="164" fontId="22" fillId="0" borderId="11" xfId="1" applyNumberFormat="1" applyFont="1" applyBorder="1" applyAlignment="1">
      <alignment horizontal="right" vertical="center" wrapText="1"/>
    </xf>
    <xf numFmtId="164" fontId="22" fillId="0" borderId="12" xfId="1" applyNumberFormat="1" applyFont="1" applyBorder="1" applyAlignment="1">
      <alignment horizontal="right" vertical="center" wrapText="1"/>
    </xf>
    <xf numFmtId="0" fontId="28" fillId="0" borderId="0" xfId="0" applyFont="1" applyBorder="1" applyAlignment="1">
      <alignment horizontal="center"/>
    </xf>
    <xf numFmtId="0" fontId="29" fillId="0" borderId="0" xfId="0" applyFont="1" applyBorder="1" applyAlignment="1">
      <alignment horizontal="center"/>
    </xf>
    <xf numFmtId="0" fontId="29" fillId="0" borderId="1" xfId="0" applyFont="1" applyBorder="1" applyAlignment="1">
      <alignment horizontal="center"/>
    </xf>
    <xf numFmtId="0" fontId="29" fillId="0" borderId="26" xfId="0" applyFont="1" applyBorder="1" applyAlignment="1">
      <alignment horizontal="center"/>
    </xf>
    <xf numFmtId="0" fontId="29" fillId="0" borderId="34" xfId="0" applyFont="1" applyBorder="1" applyAlignment="1">
      <alignment horizontal="center"/>
    </xf>
    <xf numFmtId="0" fontId="25" fillId="4" borderId="11"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28" fillId="0" borderId="36" xfId="0" applyFont="1" applyBorder="1" applyAlignment="1">
      <alignment horizontal="center" vertical="top"/>
    </xf>
    <xf numFmtId="0" fontId="28" fillId="0" borderId="2" xfId="0" applyFont="1" applyBorder="1" applyAlignment="1">
      <alignment horizontal="center" vertical="top"/>
    </xf>
    <xf numFmtId="0" fontId="28" fillId="0" borderId="39" xfId="0" applyFont="1" applyBorder="1" applyAlignment="1">
      <alignment horizontal="center" vertical="top"/>
    </xf>
    <xf numFmtId="0" fontId="28" fillId="0" borderId="37" xfId="0" applyFont="1" applyBorder="1" applyAlignment="1">
      <alignment horizontal="center" vertical="top"/>
    </xf>
    <xf numFmtId="0" fontId="28" fillId="0" borderId="1" xfId="0" applyFont="1" applyBorder="1" applyAlignment="1">
      <alignment horizontal="center" vertical="top"/>
    </xf>
    <xf numFmtId="0" fontId="28" fillId="0" borderId="34" xfId="0" applyFont="1" applyBorder="1" applyAlignment="1">
      <alignment horizontal="center" vertical="top"/>
    </xf>
    <xf numFmtId="0" fontId="27" fillId="0" borderId="36" xfId="0" applyFont="1" applyBorder="1" applyAlignment="1">
      <alignment horizontal="center" vertical="center"/>
    </xf>
    <xf numFmtId="0" fontId="27" fillId="0" borderId="2" xfId="0" applyFont="1" applyBorder="1" applyAlignment="1">
      <alignment horizontal="center" vertical="center"/>
    </xf>
    <xf numFmtId="0" fontId="27" fillId="0" borderId="39" xfId="0" applyFont="1" applyBorder="1" applyAlignment="1">
      <alignment horizontal="center" vertical="center"/>
    </xf>
    <xf numFmtId="0" fontId="27" fillId="0" borderId="37" xfId="0" applyFont="1" applyBorder="1" applyAlignment="1">
      <alignment horizontal="center" vertical="center"/>
    </xf>
    <xf numFmtId="0" fontId="27" fillId="0" borderId="1" xfId="0" applyFont="1" applyBorder="1" applyAlignment="1">
      <alignment horizontal="center" vertical="center"/>
    </xf>
    <xf numFmtId="0" fontId="27" fillId="0" borderId="34" xfId="0" applyFont="1" applyBorder="1" applyAlignment="1">
      <alignment horizontal="center" vertical="center"/>
    </xf>
    <xf numFmtId="164" fontId="0" fillId="0" borderId="4" xfId="1" applyNumberFormat="1" applyFont="1" applyBorder="1" applyAlignment="1">
      <alignment horizontal="center" vertical="center" wrapText="1"/>
    </xf>
    <xf numFmtId="0" fontId="35" fillId="3" borderId="2" xfId="0" applyFont="1" applyFill="1" applyBorder="1" applyAlignment="1">
      <alignment horizontal="center" vertical="top" wrapText="1"/>
    </xf>
    <xf numFmtId="0" fontId="35" fillId="3" borderId="0" xfId="0" applyFont="1" applyFill="1" applyBorder="1" applyAlignment="1">
      <alignment horizontal="center" vertical="top" wrapText="1"/>
    </xf>
    <xf numFmtId="0" fontId="23" fillId="0" borderId="7" xfId="0" applyFont="1" applyBorder="1" applyAlignment="1">
      <alignment horizontal="left" vertical="top" wrapText="1"/>
    </xf>
    <xf numFmtId="0" fontId="23" fillId="0" borderId="0" xfId="0" applyFont="1" applyBorder="1" applyAlignment="1">
      <alignment horizontal="left" vertical="top" wrapText="1"/>
    </xf>
    <xf numFmtId="0" fontId="7" fillId="0" borderId="1" xfId="0" applyFont="1" applyBorder="1" applyAlignment="1">
      <alignment horizontal="right"/>
    </xf>
    <xf numFmtId="0" fontId="7" fillId="0" borderId="10" xfId="0" applyFont="1" applyBorder="1" applyAlignment="1">
      <alignment horizontal="right"/>
    </xf>
    <xf numFmtId="0" fontId="8" fillId="10" borderId="0" xfId="0" applyFont="1" applyFill="1" applyBorder="1" applyAlignment="1">
      <alignment horizontal="left" vertical="top" wrapText="1"/>
    </xf>
    <xf numFmtId="0" fontId="8" fillId="10" borderId="8" xfId="0" applyFont="1" applyFill="1" applyBorder="1" applyAlignment="1">
      <alignment horizontal="left" vertical="top" wrapText="1"/>
    </xf>
    <xf numFmtId="0" fontId="8" fillId="0" borderId="1" xfId="0" applyFont="1" applyBorder="1" applyAlignment="1">
      <alignment horizontal="right"/>
    </xf>
    <xf numFmtId="0" fontId="8" fillId="0" borderId="4" xfId="0" applyFont="1" applyBorder="1" applyAlignment="1">
      <alignment horizontal="right"/>
    </xf>
    <xf numFmtId="0" fontId="8" fillId="0" borderId="2" xfId="0" applyFont="1" applyBorder="1" applyAlignment="1">
      <alignment horizontal="right" wrapText="1"/>
    </xf>
    <xf numFmtId="0" fontId="8" fillId="0" borderId="1" xfId="0" applyFont="1" applyBorder="1" applyAlignment="1">
      <alignment horizontal="right" wrapText="1"/>
    </xf>
    <xf numFmtId="0" fontId="19" fillId="4" borderId="2" xfId="0" applyFont="1" applyFill="1" applyBorder="1" applyAlignment="1">
      <alignment horizontal="center" vertical="top" wrapText="1"/>
    </xf>
    <xf numFmtId="0" fontId="19" fillId="4" borderId="0" xfId="0" applyFont="1" applyFill="1" applyBorder="1" applyAlignment="1">
      <alignment horizontal="center" vertical="top" wrapText="1"/>
    </xf>
    <xf numFmtId="0" fontId="8" fillId="0" borderId="7" xfId="0" applyFont="1" applyBorder="1" applyAlignment="1">
      <alignment horizontal="left" vertical="top" wrapText="1"/>
    </xf>
    <xf numFmtId="0" fontId="22" fillId="0" borderId="11" xfId="0" applyFont="1" applyBorder="1" applyAlignment="1">
      <alignment horizontal="center" vertical="center"/>
    </xf>
    <xf numFmtId="0" fontId="22" fillId="0" borderId="4" xfId="0" applyFont="1" applyBorder="1" applyAlignment="1">
      <alignment horizontal="center" vertical="center"/>
    </xf>
    <xf numFmtId="0" fontId="22" fillId="0" borderId="12" xfId="0" applyFont="1" applyBorder="1" applyAlignment="1">
      <alignment horizontal="center" vertical="center"/>
    </xf>
    <xf numFmtId="0" fontId="7" fillId="0" borderId="0" xfId="0" applyFont="1" applyBorder="1" applyAlignment="1">
      <alignment horizontal="right" wrapText="1"/>
    </xf>
    <xf numFmtId="0" fontId="7" fillId="0" borderId="1" xfId="0" applyFont="1" applyBorder="1" applyAlignment="1">
      <alignment horizontal="right" wrapText="1"/>
    </xf>
    <xf numFmtId="164" fontId="0" fillId="0" borderId="11" xfId="1" applyNumberFormat="1" applyFont="1" applyBorder="1" applyAlignment="1">
      <alignment horizontal="right" vertical="center" wrapText="1"/>
    </xf>
    <xf numFmtId="164" fontId="0" fillId="0" borderId="12" xfId="1" applyNumberFormat="1" applyFont="1" applyBorder="1" applyAlignment="1">
      <alignment horizontal="right" vertical="center" wrapText="1"/>
    </xf>
    <xf numFmtId="0" fontId="0" fillId="0" borderId="5" xfId="0" applyFill="1" applyBorder="1" applyAlignment="1">
      <alignment horizontal="center" vertical="center" wrapText="1"/>
    </xf>
    <xf numFmtId="0" fontId="0" fillId="0" borderId="2" xfId="0" applyFill="1" applyBorder="1" applyAlignment="1">
      <alignment horizontal="center" vertical="center" wrapText="1"/>
    </xf>
    <xf numFmtId="0" fontId="0" fillId="0" borderId="6" xfId="0" applyFill="1"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0" fillId="0" borderId="3" xfId="0" applyFont="1" applyBorder="1" applyAlignment="1">
      <alignment horizontal="center" vertical="center" wrapText="1"/>
    </xf>
    <xf numFmtId="164" fontId="22" fillId="0" borderId="11" xfId="1" applyNumberFormat="1" applyFont="1" applyBorder="1" applyAlignment="1">
      <alignment horizontal="center" vertical="center" wrapText="1"/>
    </xf>
    <xf numFmtId="164" fontId="22" fillId="0" borderId="12" xfId="1" applyNumberFormat="1" applyFont="1" applyBorder="1" applyAlignment="1">
      <alignment horizontal="center" vertical="center" wrapText="1"/>
    </xf>
    <xf numFmtId="0" fontId="20" fillId="0" borderId="11" xfId="0" applyFont="1" applyFill="1" applyBorder="1" applyAlignment="1">
      <alignment horizontal="center"/>
    </xf>
    <xf numFmtId="0" fontId="20" fillId="0" borderId="12" xfId="0" applyFont="1" applyFill="1" applyBorder="1" applyAlignment="1">
      <alignment horizontal="center"/>
    </xf>
    <xf numFmtId="0" fontId="20" fillId="0" borderId="3" xfId="0" applyFont="1" applyFill="1" applyBorder="1" applyAlignment="1">
      <alignment horizontal="center"/>
    </xf>
    <xf numFmtId="0" fontId="8" fillId="0" borderId="3" xfId="0" applyFont="1" applyBorder="1" applyAlignment="1">
      <alignment horizontal="center" vertical="top" wrapText="1"/>
    </xf>
    <xf numFmtId="0" fontId="8" fillId="0" borderId="47" xfId="0" applyFont="1" applyBorder="1" applyAlignment="1">
      <alignment horizontal="center" vertical="top" wrapText="1"/>
    </xf>
    <xf numFmtId="0" fontId="8" fillId="0" borderId="49" xfId="0" applyFont="1" applyBorder="1" applyAlignment="1">
      <alignment horizontal="center" vertical="top" wrapText="1"/>
    </xf>
    <xf numFmtId="0" fontId="8" fillId="0" borderId="52" xfId="0" applyFont="1" applyBorder="1" applyAlignment="1">
      <alignment horizontal="center" vertical="top" wrapText="1"/>
    </xf>
    <xf numFmtId="0" fontId="8" fillId="0" borderId="46" xfId="0" applyFont="1" applyBorder="1" applyAlignment="1">
      <alignment horizontal="center" vertical="top" wrapText="1"/>
    </xf>
    <xf numFmtId="0" fontId="8" fillId="0" borderId="48" xfId="0" applyFont="1" applyBorder="1" applyAlignment="1">
      <alignment horizontal="center" vertical="top" wrapText="1"/>
    </xf>
    <xf numFmtId="0" fontId="20" fillId="0" borderId="2" xfId="0" applyFont="1" applyFill="1" applyBorder="1" applyAlignment="1">
      <alignment horizontal="center"/>
    </xf>
    <xf numFmtId="0" fontId="20" fillId="0" borderId="0" xfId="0" applyFont="1" applyFill="1" applyBorder="1" applyAlignment="1">
      <alignment horizontal="center"/>
    </xf>
    <xf numFmtId="0" fontId="20" fillId="0" borderId="8" xfId="0" applyFont="1" applyFill="1" applyBorder="1" applyAlignment="1">
      <alignment horizontal="center"/>
    </xf>
    <xf numFmtId="0" fontId="20" fillId="0" borderId="1" xfId="0" applyFont="1" applyFill="1" applyBorder="1" applyAlignment="1">
      <alignment horizontal="center"/>
    </xf>
    <xf numFmtId="0" fontId="20" fillId="0" borderId="10" xfId="0" applyFont="1" applyFill="1" applyBorder="1" applyAlignment="1">
      <alignment horizontal="center"/>
    </xf>
    <xf numFmtId="0" fontId="42" fillId="0" borderId="11" xfId="0" applyFont="1" applyFill="1" applyBorder="1" applyAlignment="1">
      <alignment horizontal="center"/>
    </xf>
    <xf numFmtId="0" fontId="42" fillId="0" borderId="4" xfId="0" applyFont="1" applyFill="1" applyBorder="1" applyAlignment="1">
      <alignment horizontal="center"/>
    </xf>
    <xf numFmtId="0" fontId="42" fillId="0" borderId="2" xfId="0" applyFont="1" applyFill="1" applyBorder="1" applyAlignment="1">
      <alignment horizontal="center"/>
    </xf>
    <xf numFmtId="0" fontId="42" fillId="0" borderId="6" xfId="0" applyFont="1" applyFill="1" applyBorder="1" applyAlignment="1">
      <alignment horizontal="center"/>
    </xf>
    <xf numFmtId="0" fontId="44" fillId="0" borderId="40" xfId="0" applyFont="1" applyBorder="1" applyAlignment="1">
      <alignment horizontal="center" vertical="top"/>
    </xf>
    <xf numFmtId="0" fontId="44" fillId="0" borderId="2" xfId="0" applyFont="1" applyBorder="1" applyAlignment="1">
      <alignment horizontal="center" vertical="top"/>
    </xf>
    <xf numFmtId="0" fontId="44" fillId="0" borderId="39" xfId="0" applyFont="1" applyBorder="1" applyAlignment="1">
      <alignment horizontal="center" vertical="top"/>
    </xf>
    <xf numFmtId="0" fontId="44" fillId="0" borderId="32" xfId="0" applyFont="1" applyBorder="1" applyAlignment="1">
      <alignment horizontal="center" vertical="top"/>
    </xf>
    <xf numFmtId="0" fontId="44" fillId="0" borderId="1" xfId="0" applyFont="1" applyBorder="1" applyAlignment="1">
      <alignment horizontal="center" vertical="top"/>
    </xf>
    <xf numFmtId="0" fontId="44" fillId="0" borderId="34" xfId="0" applyFont="1" applyBorder="1" applyAlignment="1">
      <alignment horizontal="center" vertical="top"/>
    </xf>
    <xf numFmtId="0" fontId="43" fillId="0" borderId="3" xfId="0" applyFont="1" applyBorder="1" applyAlignment="1">
      <alignment horizontal="center" vertical="center" wrapText="1"/>
    </xf>
    <xf numFmtId="0" fontId="43" fillId="0" borderId="47" xfId="0" applyFont="1" applyBorder="1" applyAlignment="1">
      <alignment horizontal="center" vertical="center" wrapText="1"/>
    </xf>
    <xf numFmtId="0" fontId="20" fillId="0" borderId="3" xfId="0" applyFont="1" applyFill="1" applyBorder="1" applyAlignment="1">
      <alignment horizontal="center" vertical="center" wrapText="1"/>
    </xf>
    <xf numFmtId="0" fontId="20" fillId="0" borderId="3" xfId="0" applyFont="1" applyBorder="1" applyAlignment="1">
      <alignment horizontal="center" vertical="center" wrapText="1"/>
    </xf>
    <xf numFmtId="0" fontId="20" fillId="0" borderId="46" xfId="0" applyFont="1" applyBorder="1" applyAlignment="1">
      <alignment horizontal="center" vertical="center" wrapText="1"/>
    </xf>
    <xf numFmtId="0" fontId="0" fillId="7" borderId="0" xfId="0" applyFill="1" applyAlignment="1">
      <alignment horizontal="center"/>
    </xf>
    <xf numFmtId="0" fontId="1" fillId="3" borderId="0" xfId="0" applyFont="1" applyFill="1" applyAlignment="1">
      <alignment horizontal="center"/>
    </xf>
    <xf numFmtId="0" fontId="0" fillId="8" borderId="0" xfId="0" applyFill="1" applyAlignment="1">
      <alignment horizontal="center"/>
    </xf>
    <xf numFmtId="0" fontId="0" fillId="9" borderId="0" xfId="0" applyFill="1" applyAlignment="1">
      <alignment horizontal="center"/>
    </xf>
    <xf numFmtId="0" fontId="0" fillId="0" borderId="0" xfId="0" applyBorder="1" applyAlignment="1">
      <alignment horizontal="left" wrapText="1"/>
    </xf>
    <xf numFmtId="0" fontId="3" fillId="0" borderId="0" xfId="0" applyFont="1" applyAlignment="1">
      <alignment horizontal="center" wrapText="1"/>
    </xf>
    <xf numFmtId="0" fontId="27" fillId="0" borderId="40" xfId="0" applyFont="1" applyBorder="1" applyAlignment="1">
      <alignment horizontal="center" vertical="center"/>
    </xf>
    <xf numFmtId="0" fontId="27" fillId="0" borderId="32" xfId="0" applyFont="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AWWA</a:t>
            </a:r>
            <a:r>
              <a:rPr lang="en-US" baseline="0"/>
              <a:t> Demand Curve</a:t>
            </a:r>
            <a:endParaRPr lang="en-US"/>
          </a:p>
        </c:rich>
      </c:tx>
      <c:overlay val="0"/>
    </c:title>
    <c:autoTitleDeleted val="0"/>
    <c:plotArea>
      <c:layout/>
      <c:scatterChart>
        <c:scatterStyle val="lineMarker"/>
        <c:varyColors val="0"/>
        <c:ser>
          <c:idx val="0"/>
          <c:order val="0"/>
          <c:tx>
            <c:v>Multi-Family Residential</c:v>
          </c:tx>
          <c:xVal>
            <c:numRef>
              <c:f>'AWWA Curves'!$B$62:$B$103</c:f>
              <c:numCache>
                <c:formatCode>General</c:formatCode>
                <c:ptCount val="42"/>
                <c:pt idx="0">
                  <c:v>0</c:v>
                </c:pt>
                <c:pt idx="1">
                  <c:v>0.1</c:v>
                </c:pt>
                <c:pt idx="2">
                  <c:v>25</c:v>
                </c:pt>
                <c:pt idx="3">
                  <c:v>50</c:v>
                </c:pt>
                <c:pt idx="4">
                  <c:v>75</c:v>
                </c:pt>
                <c:pt idx="5">
                  <c:v>100</c:v>
                </c:pt>
                <c:pt idx="6">
                  <c:v>200</c:v>
                </c:pt>
                <c:pt idx="7">
                  <c:v>300</c:v>
                </c:pt>
                <c:pt idx="8">
                  <c:v>400</c:v>
                </c:pt>
                <c:pt idx="9">
                  <c:v>500</c:v>
                </c:pt>
                <c:pt idx="10">
                  <c:v>600</c:v>
                </c:pt>
                <c:pt idx="11">
                  <c:v>700</c:v>
                </c:pt>
                <c:pt idx="12">
                  <c:v>800</c:v>
                </c:pt>
                <c:pt idx="13">
                  <c:v>900</c:v>
                </c:pt>
                <c:pt idx="14">
                  <c:v>1000</c:v>
                </c:pt>
                <c:pt idx="15">
                  <c:v>1100</c:v>
                </c:pt>
                <c:pt idx="16">
                  <c:v>1200</c:v>
                </c:pt>
                <c:pt idx="17">
                  <c:v>1300</c:v>
                </c:pt>
                <c:pt idx="18">
                  <c:v>1500</c:v>
                </c:pt>
                <c:pt idx="19">
                  <c:v>2000</c:v>
                </c:pt>
                <c:pt idx="20">
                  <c:v>2500</c:v>
                </c:pt>
                <c:pt idx="21">
                  <c:v>3000</c:v>
                </c:pt>
                <c:pt idx="22">
                  <c:v>3500</c:v>
                </c:pt>
                <c:pt idx="23">
                  <c:v>4000</c:v>
                </c:pt>
                <c:pt idx="24">
                  <c:v>4500</c:v>
                </c:pt>
                <c:pt idx="25">
                  <c:v>5000</c:v>
                </c:pt>
                <c:pt idx="26">
                  <c:v>5500</c:v>
                </c:pt>
                <c:pt idx="27">
                  <c:v>6000</c:v>
                </c:pt>
                <c:pt idx="28">
                  <c:v>6500</c:v>
                </c:pt>
                <c:pt idx="29">
                  <c:v>7000</c:v>
                </c:pt>
                <c:pt idx="30">
                  <c:v>7500</c:v>
                </c:pt>
                <c:pt idx="31">
                  <c:v>8000</c:v>
                </c:pt>
                <c:pt idx="32">
                  <c:v>8500</c:v>
                </c:pt>
                <c:pt idx="33">
                  <c:v>9000</c:v>
                </c:pt>
                <c:pt idx="34">
                  <c:v>9500</c:v>
                </c:pt>
                <c:pt idx="35">
                  <c:v>10000</c:v>
                </c:pt>
                <c:pt idx="36">
                  <c:v>10500</c:v>
                </c:pt>
                <c:pt idx="37">
                  <c:v>11000</c:v>
                </c:pt>
                <c:pt idx="38">
                  <c:v>11500</c:v>
                </c:pt>
                <c:pt idx="39">
                  <c:v>12000</c:v>
                </c:pt>
                <c:pt idx="40">
                  <c:v>12500</c:v>
                </c:pt>
                <c:pt idx="41">
                  <c:v>13000</c:v>
                </c:pt>
              </c:numCache>
            </c:numRef>
          </c:xVal>
          <c:yVal>
            <c:numRef>
              <c:f>'AWWA Curves'!$D$62:$D$103</c:f>
              <c:numCache>
                <c:formatCode>General</c:formatCode>
                <c:ptCount val="42"/>
                <c:pt idx="0">
                  <c:v>0</c:v>
                </c:pt>
                <c:pt idx="1">
                  <c:v>0</c:v>
                </c:pt>
                <c:pt idx="2">
                  <c:v>18</c:v>
                </c:pt>
                <c:pt idx="3">
                  <c:v>20</c:v>
                </c:pt>
                <c:pt idx="4">
                  <c:v>22</c:v>
                </c:pt>
                <c:pt idx="5">
                  <c:v>24.5</c:v>
                </c:pt>
                <c:pt idx="6">
                  <c:v>30</c:v>
                </c:pt>
                <c:pt idx="7">
                  <c:v>35</c:v>
                </c:pt>
                <c:pt idx="8">
                  <c:v>42</c:v>
                </c:pt>
                <c:pt idx="9">
                  <c:v>47</c:v>
                </c:pt>
                <c:pt idx="10">
                  <c:v>51</c:v>
                </c:pt>
                <c:pt idx="11">
                  <c:v>55</c:v>
                </c:pt>
                <c:pt idx="12">
                  <c:v>58</c:v>
                </c:pt>
                <c:pt idx="13">
                  <c:v>59</c:v>
                </c:pt>
                <c:pt idx="14">
                  <c:v>60</c:v>
                </c:pt>
                <c:pt idx="15">
                  <c:v>62</c:v>
                </c:pt>
                <c:pt idx="16">
                  <c:v>64</c:v>
                </c:pt>
                <c:pt idx="17">
                  <c:v>66</c:v>
                </c:pt>
                <c:pt idx="18">
                  <c:v>67</c:v>
                </c:pt>
                <c:pt idx="19">
                  <c:v>70</c:v>
                </c:pt>
                <c:pt idx="20">
                  <c:v>74</c:v>
                </c:pt>
                <c:pt idx="21">
                  <c:v>76</c:v>
                </c:pt>
                <c:pt idx="22">
                  <c:v>79</c:v>
                </c:pt>
                <c:pt idx="23">
                  <c:v>83</c:v>
                </c:pt>
                <c:pt idx="24">
                  <c:v>87.5</c:v>
                </c:pt>
                <c:pt idx="25">
                  <c:v>90</c:v>
                </c:pt>
                <c:pt idx="26">
                  <c:v>94</c:v>
                </c:pt>
                <c:pt idx="27">
                  <c:v>98</c:v>
                </c:pt>
                <c:pt idx="28">
                  <c:v>100</c:v>
                </c:pt>
                <c:pt idx="29">
                  <c:v>103</c:v>
                </c:pt>
                <c:pt idx="30">
                  <c:v>108</c:v>
                </c:pt>
                <c:pt idx="31">
                  <c:v>112.5</c:v>
                </c:pt>
                <c:pt idx="32">
                  <c:v>116</c:v>
                </c:pt>
                <c:pt idx="33">
                  <c:v>120</c:v>
                </c:pt>
                <c:pt idx="34">
                  <c:v>122.5</c:v>
                </c:pt>
                <c:pt idx="35">
                  <c:v>126</c:v>
                </c:pt>
                <c:pt idx="36">
                  <c:v>129</c:v>
                </c:pt>
                <c:pt idx="37">
                  <c:v>132</c:v>
                </c:pt>
                <c:pt idx="38">
                  <c:v>135</c:v>
                </c:pt>
                <c:pt idx="39">
                  <c:v>137.5</c:v>
                </c:pt>
                <c:pt idx="40">
                  <c:v>140</c:v>
                </c:pt>
                <c:pt idx="41">
                  <c:v>148</c:v>
                </c:pt>
              </c:numCache>
            </c:numRef>
          </c:yVal>
          <c:smooth val="0"/>
          <c:extLst>
            <c:ext xmlns:c16="http://schemas.microsoft.com/office/drawing/2014/chart" uri="{C3380CC4-5D6E-409C-BE32-E72D297353CC}">
              <c16:uniqueId val="{00000000-CB45-4901-A869-75110CF199B5}"/>
            </c:ext>
          </c:extLst>
        </c:ser>
        <c:ser>
          <c:idx val="1"/>
          <c:order val="1"/>
          <c:tx>
            <c:v>Non-Residential - Public</c:v>
          </c:tx>
          <c:xVal>
            <c:numRef>
              <c:f>'AWWA Curves'!$B$62:$B$103</c:f>
              <c:numCache>
                <c:formatCode>General</c:formatCode>
                <c:ptCount val="42"/>
                <c:pt idx="0">
                  <c:v>0</c:v>
                </c:pt>
                <c:pt idx="1">
                  <c:v>0.1</c:v>
                </c:pt>
                <c:pt idx="2">
                  <c:v>25</c:v>
                </c:pt>
                <c:pt idx="3">
                  <c:v>50</c:v>
                </c:pt>
                <c:pt idx="4">
                  <c:v>75</c:v>
                </c:pt>
                <c:pt idx="5">
                  <c:v>100</c:v>
                </c:pt>
                <c:pt idx="6">
                  <c:v>200</c:v>
                </c:pt>
                <c:pt idx="7">
                  <c:v>300</c:v>
                </c:pt>
                <c:pt idx="8">
                  <c:v>400</c:v>
                </c:pt>
                <c:pt idx="9">
                  <c:v>500</c:v>
                </c:pt>
                <c:pt idx="10">
                  <c:v>600</c:v>
                </c:pt>
                <c:pt idx="11">
                  <c:v>700</c:v>
                </c:pt>
                <c:pt idx="12">
                  <c:v>800</c:v>
                </c:pt>
                <c:pt idx="13">
                  <c:v>900</c:v>
                </c:pt>
                <c:pt idx="14">
                  <c:v>1000</c:v>
                </c:pt>
                <c:pt idx="15">
                  <c:v>1100</c:v>
                </c:pt>
                <c:pt idx="16">
                  <c:v>1200</c:v>
                </c:pt>
                <c:pt idx="17">
                  <c:v>1300</c:v>
                </c:pt>
                <c:pt idx="18">
                  <c:v>1500</c:v>
                </c:pt>
                <c:pt idx="19">
                  <c:v>2000</c:v>
                </c:pt>
                <c:pt idx="20">
                  <c:v>2500</c:v>
                </c:pt>
                <c:pt idx="21">
                  <c:v>3000</c:v>
                </c:pt>
                <c:pt idx="22">
                  <c:v>3500</c:v>
                </c:pt>
                <c:pt idx="23">
                  <c:v>4000</c:v>
                </c:pt>
                <c:pt idx="24">
                  <c:v>4500</c:v>
                </c:pt>
                <c:pt idx="25">
                  <c:v>5000</c:v>
                </c:pt>
                <c:pt idx="26">
                  <c:v>5500</c:v>
                </c:pt>
                <c:pt idx="27">
                  <c:v>6000</c:v>
                </c:pt>
                <c:pt idx="28">
                  <c:v>6500</c:v>
                </c:pt>
                <c:pt idx="29">
                  <c:v>7000</c:v>
                </c:pt>
                <c:pt idx="30">
                  <c:v>7500</c:v>
                </c:pt>
                <c:pt idx="31">
                  <c:v>8000</c:v>
                </c:pt>
                <c:pt idx="32">
                  <c:v>8500</c:v>
                </c:pt>
                <c:pt idx="33">
                  <c:v>9000</c:v>
                </c:pt>
                <c:pt idx="34">
                  <c:v>9500</c:v>
                </c:pt>
                <c:pt idx="35">
                  <c:v>10000</c:v>
                </c:pt>
                <c:pt idx="36">
                  <c:v>10500</c:v>
                </c:pt>
                <c:pt idx="37">
                  <c:v>11000</c:v>
                </c:pt>
                <c:pt idx="38">
                  <c:v>11500</c:v>
                </c:pt>
                <c:pt idx="39">
                  <c:v>12000</c:v>
                </c:pt>
                <c:pt idx="40">
                  <c:v>12500</c:v>
                </c:pt>
                <c:pt idx="41">
                  <c:v>13000</c:v>
                </c:pt>
              </c:numCache>
            </c:numRef>
          </c:xVal>
          <c:yVal>
            <c:numRef>
              <c:f>'AWWA Curves'!$F$62:$F$103</c:f>
              <c:numCache>
                <c:formatCode>General</c:formatCode>
                <c:ptCount val="42"/>
                <c:pt idx="0">
                  <c:v>0</c:v>
                </c:pt>
                <c:pt idx="1">
                  <c:v>37</c:v>
                </c:pt>
                <c:pt idx="2">
                  <c:v>40</c:v>
                </c:pt>
                <c:pt idx="3">
                  <c:v>44</c:v>
                </c:pt>
                <c:pt idx="4">
                  <c:v>47</c:v>
                </c:pt>
                <c:pt idx="5">
                  <c:v>49.5</c:v>
                </c:pt>
                <c:pt idx="6">
                  <c:v>60</c:v>
                </c:pt>
                <c:pt idx="7">
                  <c:v>70.5</c:v>
                </c:pt>
                <c:pt idx="8">
                  <c:v>80</c:v>
                </c:pt>
                <c:pt idx="9">
                  <c:v>88.5</c:v>
                </c:pt>
                <c:pt idx="10">
                  <c:v>97</c:v>
                </c:pt>
                <c:pt idx="11">
                  <c:v>102</c:v>
                </c:pt>
                <c:pt idx="12">
                  <c:v>110</c:v>
                </c:pt>
                <c:pt idx="13">
                  <c:v>115</c:v>
                </c:pt>
                <c:pt idx="14">
                  <c:v>120.5</c:v>
                </c:pt>
                <c:pt idx="15">
                  <c:v>125</c:v>
                </c:pt>
                <c:pt idx="16">
                  <c:v>130</c:v>
                </c:pt>
                <c:pt idx="17">
                  <c:v>133</c:v>
                </c:pt>
                <c:pt idx="18">
                  <c:v>137.5</c:v>
                </c:pt>
                <c:pt idx="19">
                  <c:v>148</c:v>
                </c:pt>
                <c:pt idx="20">
                  <c:v>151</c:v>
                </c:pt>
                <c:pt idx="21">
                  <c:v>156</c:v>
                </c:pt>
                <c:pt idx="22">
                  <c:v>160</c:v>
                </c:pt>
                <c:pt idx="23">
                  <c:v>165</c:v>
                </c:pt>
                <c:pt idx="24">
                  <c:v>168</c:v>
                </c:pt>
                <c:pt idx="25">
                  <c:v>171</c:v>
                </c:pt>
                <c:pt idx="26">
                  <c:v>174</c:v>
                </c:pt>
                <c:pt idx="27">
                  <c:v>175.5</c:v>
                </c:pt>
                <c:pt idx="28">
                  <c:v>177.5</c:v>
                </c:pt>
                <c:pt idx="29">
                  <c:v>179</c:v>
                </c:pt>
                <c:pt idx="30">
                  <c:v>183</c:v>
                </c:pt>
                <c:pt idx="31">
                  <c:v>188</c:v>
                </c:pt>
                <c:pt idx="32">
                  <c:v>193</c:v>
                </c:pt>
                <c:pt idx="33">
                  <c:v>197</c:v>
                </c:pt>
                <c:pt idx="34">
                  <c:v>200</c:v>
                </c:pt>
                <c:pt idx="35">
                  <c:v>202</c:v>
                </c:pt>
                <c:pt idx="36">
                  <c:v>206</c:v>
                </c:pt>
                <c:pt idx="37">
                  <c:v>210</c:v>
                </c:pt>
                <c:pt idx="38">
                  <c:v>212.5</c:v>
                </c:pt>
                <c:pt idx="39">
                  <c:v>216</c:v>
                </c:pt>
                <c:pt idx="40">
                  <c:v>220</c:v>
                </c:pt>
                <c:pt idx="41">
                  <c:v>225</c:v>
                </c:pt>
              </c:numCache>
            </c:numRef>
          </c:yVal>
          <c:smooth val="0"/>
          <c:extLst>
            <c:ext xmlns:c16="http://schemas.microsoft.com/office/drawing/2014/chart" uri="{C3380CC4-5D6E-409C-BE32-E72D297353CC}">
              <c16:uniqueId val="{00000001-CB45-4901-A869-75110CF199B5}"/>
            </c:ext>
          </c:extLst>
        </c:ser>
        <c:dLbls>
          <c:showLegendKey val="0"/>
          <c:showVal val="0"/>
          <c:showCatName val="0"/>
          <c:showSerName val="0"/>
          <c:showPercent val="0"/>
          <c:showBubbleSize val="0"/>
        </c:dLbls>
        <c:axId val="110543232"/>
        <c:axId val="110544768"/>
      </c:scatterChart>
      <c:valAx>
        <c:axId val="110543232"/>
        <c:scaling>
          <c:orientation val="minMax"/>
        </c:scaling>
        <c:delete val="0"/>
        <c:axPos val="b"/>
        <c:majorGridlines/>
        <c:numFmt formatCode="General" sourceLinked="1"/>
        <c:majorTickMark val="none"/>
        <c:minorTickMark val="none"/>
        <c:tickLblPos val="nextTo"/>
        <c:crossAx val="110544768"/>
        <c:crosses val="autoZero"/>
        <c:crossBetween val="midCat"/>
      </c:valAx>
      <c:valAx>
        <c:axId val="110544768"/>
        <c:scaling>
          <c:orientation val="minMax"/>
        </c:scaling>
        <c:delete val="0"/>
        <c:axPos val="l"/>
        <c:majorGridlines/>
        <c:numFmt formatCode="General" sourceLinked="1"/>
        <c:majorTickMark val="none"/>
        <c:minorTickMark val="none"/>
        <c:tickLblPos val="nextTo"/>
        <c:crossAx val="11054323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41</xdr:col>
      <xdr:colOff>421472</xdr:colOff>
      <xdr:row>90</xdr:row>
      <xdr:rowOff>71410</xdr:rowOff>
    </xdr:from>
    <xdr:to>
      <xdr:col>47</xdr:col>
      <xdr:colOff>146050</xdr:colOff>
      <xdr:row>94</xdr:row>
      <xdr:rowOff>173915</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5624622" y="17883160"/>
          <a:ext cx="3458378" cy="8899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182880</xdr:colOff>
          <xdr:row>34</xdr:row>
          <xdr:rowOff>152400</xdr:rowOff>
        </xdr:from>
        <xdr:to>
          <xdr:col>14</xdr:col>
          <xdr:colOff>579120</xdr:colOff>
          <xdr:row>36</xdr:row>
          <xdr:rowOff>30480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37</xdr:row>
          <xdr:rowOff>152400</xdr:rowOff>
        </xdr:from>
        <xdr:to>
          <xdr:col>14</xdr:col>
          <xdr:colOff>579120</xdr:colOff>
          <xdr:row>39</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51</xdr:row>
      <xdr:rowOff>94224</xdr:rowOff>
    </xdr:from>
    <xdr:to>
      <xdr:col>2</xdr:col>
      <xdr:colOff>544871</xdr:colOff>
      <xdr:row>54</xdr:row>
      <xdr:rowOff>158058</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10254224"/>
          <a:ext cx="1302774" cy="6537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36</xdr:col>
      <xdr:colOff>554022</xdr:colOff>
      <xdr:row>80</xdr:row>
      <xdr:rowOff>34712</xdr:rowOff>
    </xdr:from>
    <xdr:to>
      <xdr:col>42</xdr:col>
      <xdr:colOff>122479</xdr:colOff>
      <xdr:row>84</xdr:row>
      <xdr:rowOff>186764</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5311551" y="18023888"/>
          <a:ext cx="3677281" cy="95887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21</xdr:col>
          <xdr:colOff>198120</xdr:colOff>
          <xdr:row>26</xdr:row>
          <xdr:rowOff>784860</xdr:rowOff>
        </xdr:from>
        <xdr:to>
          <xdr:col>21</xdr:col>
          <xdr:colOff>601980</xdr:colOff>
          <xdr:row>28</xdr:row>
          <xdr:rowOff>45720</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1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27</xdr:row>
          <xdr:rowOff>784860</xdr:rowOff>
        </xdr:from>
        <xdr:to>
          <xdr:col>21</xdr:col>
          <xdr:colOff>601980</xdr:colOff>
          <xdr:row>29</xdr:row>
          <xdr:rowOff>83820</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1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28</xdr:row>
          <xdr:rowOff>784860</xdr:rowOff>
        </xdr:from>
        <xdr:to>
          <xdr:col>21</xdr:col>
          <xdr:colOff>601980</xdr:colOff>
          <xdr:row>30</xdr:row>
          <xdr:rowOff>83820</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1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29</xdr:row>
          <xdr:rowOff>784860</xdr:rowOff>
        </xdr:from>
        <xdr:to>
          <xdr:col>21</xdr:col>
          <xdr:colOff>601980</xdr:colOff>
          <xdr:row>31</xdr:row>
          <xdr:rowOff>83820</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1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30</xdr:row>
          <xdr:rowOff>784860</xdr:rowOff>
        </xdr:from>
        <xdr:to>
          <xdr:col>21</xdr:col>
          <xdr:colOff>601980</xdr:colOff>
          <xdr:row>32</xdr:row>
          <xdr:rowOff>83820</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1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31</xdr:row>
          <xdr:rowOff>784860</xdr:rowOff>
        </xdr:from>
        <xdr:to>
          <xdr:col>21</xdr:col>
          <xdr:colOff>601980</xdr:colOff>
          <xdr:row>33</xdr:row>
          <xdr:rowOff>83820</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1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32</xdr:row>
          <xdr:rowOff>784860</xdr:rowOff>
        </xdr:from>
        <xdr:to>
          <xdr:col>21</xdr:col>
          <xdr:colOff>601980</xdr:colOff>
          <xdr:row>34</xdr:row>
          <xdr:rowOff>83820</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1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33</xdr:row>
          <xdr:rowOff>784860</xdr:rowOff>
        </xdr:from>
        <xdr:to>
          <xdr:col>21</xdr:col>
          <xdr:colOff>601980</xdr:colOff>
          <xdr:row>35</xdr:row>
          <xdr:rowOff>68580</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1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34</xdr:row>
          <xdr:rowOff>784860</xdr:rowOff>
        </xdr:from>
        <xdr:to>
          <xdr:col>21</xdr:col>
          <xdr:colOff>601980</xdr:colOff>
          <xdr:row>36</xdr:row>
          <xdr:rowOff>83820</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1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35</xdr:row>
          <xdr:rowOff>784860</xdr:rowOff>
        </xdr:from>
        <xdr:to>
          <xdr:col>21</xdr:col>
          <xdr:colOff>601980</xdr:colOff>
          <xdr:row>37</xdr:row>
          <xdr:rowOff>76200</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1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352424</xdr:colOff>
      <xdr:row>61</xdr:row>
      <xdr:rowOff>142875</xdr:rowOff>
    </xdr:from>
    <xdr:to>
      <xdr:col>21</xdr:col>
      <xdr:colOff>352424</xdr:colOff>
      <xdr:row>92</xdr:row>
      <xdr:rowOff>180975</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7</xdr:col>
      <xdr:colOff>676275</xdr:colOff>
      <xdr:row>38</xdr:row>
      <xdr:rowOff>114300</xdr:rowOff>
    </xdr:from>
    <xdr:ext cx="9220200" cy="1752600"/>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6800" y="7353300"/>
          <a:ext cx="9220200" cy="1752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Technical\Tap%20Fees%20Estim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ccount Type"/>
      <sheetName val="Meter Sizes"/>
    </sheetNames>
    <sheetDataSet>
      <sheetData sheetId="0"/>
      <sheetData sheetId="1"/>
      <sheetData sheetId="2">
        <row r="2">
          <cell r="A2" t="str">
            <v>Meter Size</v>
          </cell>
        </row>
      </sheetData>
    </sheetDataSet>
  </externalBook>
</externalLink>
</file>

<file path=xl/persons/person.xml><?xml version="1.0" encoding="utf-8"?>
<personList xmlns="http://schemas.microsoft.com/office/spreadsheetml/2018/threadedcomments" xmlns:x="http://schemas.openxmlformats.org/spreadsheetml/2006/main">
  <person displayName="Ed Kovalchuk Jr." id="{5A4494BC-6066-4274-A0E7-C571CD213270}" userId="S::Ekovalchuk@pwcsa.org::d36e1814-5b90-4dab-8d7c-6dda28ba65c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5" dT="2023-07-10T13:18:27.16" personId="{5A4494BC-6066-4274-A0E7-C571CD213270}" id="{6CF760FE-AA59-459E-9B7C-4E2521ED33A0}">
    <text>If the reported information references a previously approved hydrlauic report, reference the title of the report here and its associted date of acceptance.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7/10/relationships/threadedComment" Target="../threadedComments/threadedComment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K111"/>
  <sheetViews>
    <sheetView tabSelected="1" view="pageBreakPreview" zoomScale="110" zoomScaleNormal="60" zoomScaleSheetLayoutView="110" workbookViewId="0">
      <selection activeCell="B28" sqref="B28"/>
    </sheetView>
  </sheetViews>
  <sheetFormatPr defaultColWidth="9.109375" defaultRowHeight="15.6" x14ac:dyDescent="0.3"/>
  <cols>
    <col min="1" max="1" width="1.88671875" style="70" customWidth="1"/>
    <col min="2" max="2" width="9.109375" style="70" customWidth="1"/>
    <col min="3" max="11" width="9.109375" style="70"/>
    <col min="12" max="12" width="10.109375" style="70" bestFit="1" customWidth="1"/>
    <col min="13" max="13" width="1.88671875" style="166" customWidth="1"/>
    <col min="14" max="21" width="9.109375" style="70"/>
    <col min="22" max="22" width="9.6640625" style="70" customWidth="1"/>
    <col min="23" max="23" width="9.109375" style="70"/>
    <col min="24" max="24" width="10.33203125" style="70" bestFit="1" customWidth="1"/>
    <col min="25" max="25" width="9.109375" style="70"/>
    <col min="26" max="26" width="9.109375" style="70" customWidth="1"/>
    <col min="27" max="27" width="11.6640625" style="70" customWidth="1"/>
    <col min="28" max="28" width="10.5546875" style="70" customWidth="1"/>
    <col min="29" max="30" width="9.109375" style="70"/>
    <col min="31" max="31" width="10.5546875" style="70" customWidth="1"/>
    <col min="32" max="34" width="9.109375" style="70"/>
    <col min="35" max="35" width="9.5546875" style="70" customWidth="1"/>
    <col min="36" max="37" width="9.109375" style="70"/>
    <col min="38" max="38" width="10.109375" style="70" customWidth="1"/>
    <col min="39" max="48" width="9.109375" style="70"/>
    <col min="49" max="49" width="0.6640625" style="70" customWidth="1"/>
    <col min="50" max="16384" width="9.109375" style="70"/>
  </cols>
  <sheetData>
    <row r="1" spans="1:49" ht="16.2" thickTop="1" x14ac:dyDescent="0.3">
      <c r="A1" s="236"/>
      <c r="B1" s="174"/>
      <c r="C1" s="175"/>
      <c r="D1" s="175"/>
      <c r="E1" s="235" t="s">
        <v>333</v>
      </c>
      <c r="F1" s="175"/>
      <c r="G1" s="175"/>
      <c r="H1" s="175"/>
      <c r="I1" s="175"/>
      <c r="J1" s="175"/>
      <c r="K1" s="175"/>
      <c r="L1" s="175"/>
      <c r="M1" s="218"/>
      <c r="N1" s="176"/>
      <c r="O1" s="177"/>
      <c r="P1" s="175"/>
      <c r="Q1" s="175"/>
      <c r="R1" s="175"/>
      <c r="S1" s="235" t="s">
        <v>64</v>
      </c>
      <c r="T1" s="175"/>
      <c r="U1" s="175"/>
      <c r="V1" s="175"/>
      <c r="W1" s="178"/>
      <c r="X1" s="178"/>
      <c r="Y1" s="178"/>
      <c r="Z1" s="179"/>
      <c r="AA1" s="215" t="s">
        <v>331</v>
      </c>
      <c r="AB1" s="175"/>
      <c r="AC1" s="174"/>
      <c r="AD1" s="175"/>
      <c r="AE1" s="174"/>
      <c r="AF1" s="175"/>
      <c r="AG1" s="175"/>
      <c r="AH1" s="175"/>
      <c r="AI1" s="178"/>
      <c r="AJ1" s="178"/>
      <c r="AK1" s="180"/>
      <c r="AL1" s="176"/>
      <c r="AM1" s="200"/>
      <c r="AN1" s="175"/>
      <c r="AO1" s="174"/>
      <c r="AP1" s="175"/>
      <c r="AQ1" s="215" t="s">
        <v>261</v>
      </c>
      <c r="AR1" s="175"/>
      <c r="AS1" s="175"/>
      <c r="AT1" s="175"/>
      <c r="AU1" s="178"/>
      <c r="AV1" s="178"/>
      <c r="AW1" s="238"/>
    </row>
    <row r="2" spans="1:49" ht="17.25" customHeight="1" x14ac:dyDescent="0.3">
      <c r="A2" s="181"/>
      <c r="B2" s="80" t="s">
        <v>374</v>
      </c>
      <c r="C2" s="80"/>
      <c r="D2" s="80"/>
      <c r="E2" s="80"/>
      <c r="F2" s="80"/>
      <c r="G2" s="80"/>
      <c r="H2" s="517"/>
      <c r="I2" s="517"/>
      <c r="J2" s="517"/>
      <c r="K2" s="517"/>
      <c r="L2" s="517"/>
      <c r="M2" s="219"/>
      <c r="N2" s="72"/>
      <c r="O2" s="85" t="s">
        <v>449</v>
      </c>
      <c r="P2" s="80"/>
      <c r="Q2" s="80"/>
      <c r="R2" s="80"/>
      <c r="S2" s="80"/>
      <c r="T2" s="80"/>
      <c r="U2" s="80"/>
      <c r="V2" s="80"/>
      <c r="W2" s="80"/>
      <c r="X2" s="77"/>
      <c r="Y2" s="80" t="s">
        <v>20</v>
      </c>
      <c r="Z2" s="141"/>
      <c r="AA2" s="121"/>
      <c r="AB2" s="121"/>
      <c r="AC2" s="72"/>
      <c r="AD2" s="122" t="s">
        <v>239</v>
      </c>
      <c r="AE2" s="123"/>
      <c r="AF2" s="123"/>
      <c r="AG2" s="123"/>
      <c r="AH2" s="123"/>
      <c r="AI2" s="123"/>
      <c r="AJ2" s="123"/>
      <c r="AK2" s="124"/>
      <c r="AL2" s="72"/>
      <c r="AM2" s="364"/>
      <c r="AN2" s="365"/>
      <c r="AO2" s="87"/>
      <c r="AP2" s="87"/>
      <c r="AQ2" s="87"/>
      <c r="AR2" s="87"/>
      <c r="AS2" s="87"/>
      <c r="AT2" s="167"/>
      <c r="AU2" s="167"/>
      <c r="AV2" s="89"/>
      <c r="AW2" s="182"/>
    </row>
    <row r="3" spans="1:49" ht="15.75" customHeight="1" x14ac:dyDescent="0.3">
      <c r="A3" s="181"/>
      <c r="B3" s="80" t="s">
        <v>250</v>
      </c>
      <c r="C3" s="80"/>
      <c r="D3" s="80"/>
      <c r="E3" s="80"/>
      <c r="F3" s="80"/>
      <c r="G3" s="80"/>
      <c r="H3" s="518"/>
      <c r="I3" s="518"/>
      <c r="J3" s="518"/>
      <c r="K3" s="518"/>
      <c r="L3" s="518"/>
      <c r="M3" s="219"/>
      <c r="N3" s="72"/>
      <c r="O3" s="85" t="s">
        <v>450</v>
      </c>
      <c r="P3" s="80"/>
      <c r="Q3" s="80"/>
      <c r="R3" s="80"/>
      <c r="S3" s="80"/>
      <c r="T3" s="80"/>
      <c r="U3" s="80"/>
      <c r="V3" s="80"/>
      <c r="W3" s="80"/>
      <c r="X3" s="77"/>
      <c r="Y3" s="80" t="s">
        <v>20</v>
      </c>
      <c r="Z3" s="141"/>
      <c r="AA3" s="80"/>
      <c r="AB3" s="80"/>
      <c r="AC3" s="72"/>
      <c r="AD3" s="80"/>
      <c r="AE3" s="80"/>
      <c r="AF3" s="80"/>
      <c r="AG3" s="80"/>
      <c r="AH3" s="80"/>
      <c r="AI3" s="72"/>
      <c r="AJ3" s="72"/>
      <c r="AK3" s="76"/>
      <c r="AL3" s="72"/>
      <c r="AM3" s="161">
        <v>1</v>
      </c>
      <c r="AN3" s="391" t="s">
        <v>466</v>
      </c>
      <c r="AO3" s="391"/>
      <c r="AP3" s="391"/>
      <c r="AQ3" s="391"/>
      <c r="AR3" s="391"/>
      <c r="AS3" s="391"/>
      <c r="AT3" s="391"/>
      <c r="AU3" s="391"/>
      <c r="AV3" s="392"/>
      <c r="AW3" s="182"/>
    </row>
    <row r="4" spans="1:49" ht="15.75" customHeight="1" x14ac:dyDescent="0.3">
      <c r="A4" s="181"/>
      <c r="B4" s="80" t="s">
        <v>73</v>
      </c>
      <c r="C4" s="80"/>
      <c r="D4" s="80"/>
      <c r="E4" s="80"/>
      <c r="F4" s="80"/>
      <c r="G4" s="80"/>
      <c r="H4" s="518"/>
      <c r="I4" s="518"/>
      <c r="J4" s="518"/>
      <c r="K4" s="518"/>
      <c r="L4" s="518"/>
      <c r="M4" s="219"/>
      <c r="N4" s="72"/>
      <c r="O4" s="511" t="s">
        <v>354</v>
      </c>
      <c r="P4" s="512"/>
      <c r="Q4" s="512"/>
      <c r="R4" s="512"/>
      <c r="S4" s="512"/>
      <c r="T4" s="512"/>
      <c r="U4" s="512"/>
      <c r="V4" s="512"/>
      <c r="W4" s="512"/>
      <c r="X4" s="512"/>
      <c r="Y4" s="512"/>
      <c r="Z4" s="141"/>
      <c r="AA4" s="72" t="s">
        <v>305</v>
      </c>
      <c r="AB4" s="72"/>
      <c r="AC4" s="72"/>
      <c r="AD4" s="72"/>
      <c r="AE4" s="72"/>
      <c r="AF4" s="72"/>
      <c r="AG4" s="72"/>
      <c r="AH4" s="72"/>
      <c r="AI4" s="72"/>
      <c r="AJ4" s="513"/>
      <c r="AK4" s="514"/>
      <c r="AL4" s="72"/>
      <c r="AM4" s="75"/>
      <c r="AN4" s="391"/>
      <c r="AO4" s="391"/>
      <c r="AP4" s="391"/>
      <c r="AQ4" s="391"/>
      <c r="AR4" s="391"/>
      <c r="AS4" s="391"/>
      <c r="AT4" s="391"/>
      <c r="AU4" s="391"/>
      <c r="AV4" s="392"/>
      <c r="AW4" s="182"/>
    </row>
    <row r="5" spans="1:49" x14ac:dyDescent="0.3">
      <c r="A5" s="181"/>
      <c r="B5" s="72"/>
      <c r="C5" s="80"/>
      <c r="D5" s="80"/>
      <c r="E5" s="80"/>
      <c r="F5" s="80"/>
      <c r="G5" s="80"/>
      <c r="H5" s="519"/>
      <c r="I5" s="519"/>
      <c r="J5" s="519"/>
      <c r="K5" s="519"/>
      <c r="L5" s="519"/>
      <c r="M5" s="219"/>
      <c r="N5" s="72"/>
      <c r="O5" s="75"/>
      <c r="P5" s="72"/>
      <c r="Q5" s="72"/>
      <c r="R5" s="72"/>
      <c r="S5" s="72"/>
      <c r="T5" s="72"/>
      <c r="U5" s="72"/>
      <c r="V5" s="72"/>
      <c r="W5" s="80"/>
      <c r="X5" s="80"/>
      <c r="Y5" s="80"/>
      <c r="Z5" s="141"/>
      <c r="AA5" s="80"/>
      <c r="AB5" s="108"/>
      <c r="AC5" s="80"/>
      <c r="AD5" s="108"/>
      <c r="AE5" s="108"/>
      <c r="AF5" s="108"/>
      <c r="AG5" s="72"/>
      <c r="AH5" s="72"/>
      <c r="AI5" s="72"/>
      <c r="AJ5" s="80"/>
      <c r="AK5" s="86"/>
      <c r="AL5" s="72"/>
      <c r="AM5" s="161"/>
      <c r="AN5" s="391"/>
      <c r="AO5" s="391"/>
      <c r="AP5" s="391"/>
      <c r="AQ5" s="391"/>
      <c r="AR5" s="391"/>
      <c r="AS5" s="391"/>
      <c r="AT5" s="391"/>
      <c r="AU5" s="391"/>
      <c r="AV5" s="392"/>
      <c r="AW5" s="182"/>
    </row>
    <row r="6" spans="1:49" x14ac:dyDescent="0.3">
      <c r="A6" s="181"/>
      <c r="B6" s="80" t="s">
        <v>249</v>
      </c>
      <c r="C6" s="80"/>
      <c r="D6" s="80"/>
      <c r="E6" s="80"/>
      <c r="F6" s="80"/>
      <c r="G6" s="80"/>
      <c r="H6" s="520"/>
      <c r="I6" s="520"/>
      <c r="J6" s="520"/>
      <c r="K6" s="520"/>
      <c r="L6" s="520"/>
      <c r="M6" s="219"/>
      <c r="N6" s="72"/>
      <c r="O6" s="126"/>
      <c r="P6" s="118"/>
      <c r="Q6" s="118"/>
      <c r="R6" s="118"/>
      <c r="S6" s="216" t="s">
        <v>66</v>
      </c>
      <c r="T6" s="118"/>
      <c r="U6" s="118"/>
      <c r="V6" s="118"/>
      <c r="W6" s="119"/>
      <c r="X6" s="119"/>
      <c r="Y6" s="119"/>
      <c r="Z6" s="141"/>
      <c r="AA6" s="108" t="s">
        <v>376</v>
      </c>
      <c r="AB6" s="108"/>
      <c r="AC6" s="108"/>
      <c r="AD6" s="108"/>
      <c r="AE6" s="108"/>
      <c r="AF6" s="108"/>
      <c r="AG6" s="71"/>
      <c r="AH6" s="71"/>
      <c r="AI6" s="71"/>
      <c r="AJ6" s="91"/>
      <c r="AK6" s="125" t="s">
        <v>346</v>
      </c>
      <c r="AL6" s="72"/>
      <c r="AM6" s="161"/>
      <c r="AN6" s="391"/>
      <c r="AO6" s="391"/>
      <c r="AP6" s="391"/>
      <c r="AQ6" s="391"/>
      <c r="AR6" s="391"/>
      <c r="AS6" s="391"/>
      <c r="AT6" s="391"/>
      <c r="AU6" s="391"/>
      <c r="AV6" s="392"/>
      <c r="AW6" s="182"/>
    </row>
    <row r="7" spans="1:49" ht="15.75" customHeight="1" x14ac:dyDescent="0.3">
      <c r="A7" s="181"/>
      <c r="B7" s="80"/>
      <c r="C7" s="80"/>
      <c r="D7" s="80"/>
      <c r="E7" s="80"/>
      <c r="F7" s="80"/>
      <c r="G7" s="80"/>
      <c r="H7" s="80"/>
      <c r="I7" s="80"/>
      <c r="J7" s="80"/>
      <c r="K7" s="80"/>
      <c r="L7" s="72"/>
      <c r="M7" s="220"/>
      <c r="N7" s="72"/>
      <c r="O7" s="85" t="s">
        <v>13</v>
      </c>
      <c r="P7" s="80"/>
      <c r="Q7" s="80"/>
      <c r="R7" s="80"/>
      <c r="S7" s="80"/>
      <c r="T7" s="80"/>
      <c r="U7" s="80"/>
      <c r="V7" s="80"/>
      <c r="W7" s="80"/>
      <c r="X7" s="77"/>
      <c r="Y7" s="80" t="s">
        <v>65</v>
      </c>
      <c r="Z7" s="141"/>
      <c r="AA7" s="80"/>
      <c r="AB7" s="108"/>
      <c r="AC7" s="80"/>
      <c r="AD7" s="108"/>
      <c r="AE7" s="108"/>
      <c r="AF7" s="108"/>
      <c r="AG7" s="72"/>
      <c r="AH7" s="72"/>
      <c r="AI7" s="80"/>
      <c r="AJ7" s="80"/>
      <c r="AK7" s="76"/>
      <c r="AL7" s="72"/>
      <c r="AM7" s="161"/>
      <c r="AN7" s="96"/>
      <c r="AO7" s="96"/>
      <c r="AP7" s="96"/>
      <c r="AQ7" s="96"/>
      <c r="AR7" s="96"/>
      <c r="AS7" s="96"/>
      <c r="AT7" s="96"/>
      <c r="AU7" s="96"/>
      <c r="AV7" s="366"/>
      <c r="AW7" s="182"/>
    </row>
    <row r="8" spans="1:49" x14ac:dyDescent="0.3">
      <c r="A8" s="237"/>
      <c r="B8" s="152"/>
      <c r="C8" s="152"/>
      <c r="D8" s="153"/>
      <c r="E8" s="234" t="s">
        <v>334</v>
      </c>
      <c r="F8" s="244"/>
      <c r="G8" s="152"/>
      <c r="H8" s="155"/>
      <c r="I8" s="155"/>
      <c r="J8" s="156"/>
      <c r="K8" s="152"/>
      <c r="L8" s="152"/>
      <c r="M8" s="221"/>
      <c r="N8" s="72"/>
      <c r="O8" s="85" t="s">
        <v>12</v>
      </c>
      <c r="P8" s="80"/>
      <c r="Q8" s="80"/>
      <c r="R8" s="80"/>
      <c r="S8" s="80"/>
      <c r="T8" s="80"/>
      <c r="U8" s="80"/>
      <c r="V8" s="80"/>
      <c r="W8" s="80"/>
      <c r="X8" s="77"/>
      <c r="Y8" s="80" t="s">
        <v>20</v>
      </c>
      <c r="Z8" s="141"/>
      <c r="AA8" s="108" t="s">
        <v>306</v>
      </c>
      <c r="AB8" s="108"/>
      <c r="AC8" s="108"/>
      <c r="AD8" s="108"/>
      <c r="AE8" s="108"/>
      <c r="AF8" s="108"/>
      <c r="AG8" s="72"/>
      <c r="AH8" s="72"/>
      <c r="AI8" s="108"/>
      <c r="AJ8" s="98">
        <v>60</v>
      </c>
      <c r="AK8" s="76" t="s">
        <v>20</v>
      </c>
      <c r="AL8" s="72"/>
      <c r="AM8" s="161">
        <v>2</v>
      </c>
      <c r="AN8" s="391" t="s">
        <v>467</v>
      </c>
      <c r="AO8" s="391"/>
      <c r="AP8" s="391"/>
      <c r="AQ8" s="391"/>
      <c r="AR8" s="391"/>
      <c r="AS8" s="391"/>
      <c r="AT8" s="391"/>
      <c r="AU8" s="391"/>
      <c r="AV8" s="392"/>
      <c r="AW8" s="182"/>
    </row>
    <row r="9" spans="1:49" x14ac:dyDescent="0.3">
      <c r="A9" s="181"/>
      <c r="B9" s="80" t="s">
        <v>10</v>
      </c>
      <c r="C9" s="80"/>
      <c r="D9" s="80"/>
      <c r="E9" s="80"/>
      <c r="F9" s="80"/>
      <c r="G9" s="80"/>
      <c r="H9" s="72"/>
      <c r="I9" s="72"/>
      <c r="J9" s="80"/>
      <c r="K9" s="77"/>
      <c r="L9" s="78" t="s">
        <v>443</v>
      </c>
      <c r="M9" s="222"/>
      <c r="N9" s="72"/>
      <c r="O9" s="127" t="s">
        <v>353</v>
      </c>
      <c r="P9" s="72"/>
      <c r="Q9" s="72"/>
      <c r="R9" s="72"/>
      <c r="S9" s="72"/>
      <c r="T9" s="72"/>
      <c r="U9" s="72"/>
      <c r="V9" s="72"/>
      <c r="W9" s="72"/>
      <c r="X9" s="72"/>
      <c r="Y9" s="72"/>
      <c r="Z9" s="141"/>
      <c r="AA9" s="127" t="s">
        <v>311</v>
      </c>
      <c r="AB9" s="108"/>
      <c r="AC9" s="108"/>
      <c r="AD9" s="108"/>
      <c r="AE9" s="80"/>
      <c r="AF9" s="80"/>
      <c r="AG9" s="109"/>
      <c r="AH9" s="108"/>
      <c r="AI9" s="72"/>
      <c r="AJ9" s="35"/>
      <c r="AK9" s="128"/>
      <c r="AL9" s="72"/>
      <c r="AM9" s="75"/>
      <c r="AN9" s="391"/>
      <c r="AO9" s="391"/>
      <c r="AP9" s="391"/>
      <c r="AQ9" s="391"/>
      <c r="AR9" s="391"/>
      <c r="AS9" s="391"/>
      <c r="AT9" s="391"/>
      <c r="AU9" s="391"/>
      <c r="AV9" s="392"/>
      <c r="AW9" s="182"/>
    </row>
    <row r="10" spans="1:49" x14ac:dyDescent="0.3">
      <c r="A10" s="181"/>
      <c r="B10" s="201" t="s">
        <v>61</v>
      </c>
      <c r="C10" s="80"/>
      <c r="D10" s="80"/>
      <c r="E10" s="80"/>
      <c r="F10" s="117"/>
      <c r="G10" s="80"/>
      <c r="H10" s="72"/>
      <c r="I10" s="72"/>
      <c r="J10" s="80"/>
      <c r="K10" s="80"/>
      <c r="L10" s="79" t="str">
        <f>VLOOKUP(L9,'Excel List 1'!A6:F17,5,FALSE)</f>
        <v/>
      </c>
      <c r="M10" s="222"/>
      <c r="N10" s="72"/>
      <c r="O10" s="85" t="s">
        <v>375</v>
      </c>
      <c r="P10" s="129"/>
      <c r="Q10" s="129"/>
      <c r="R10" s="129"/>
      <c r="S10" s="129"/>
      <c r="T10" s="129"/>
      <c r="U10" s="129"/>
      <c r="V10" s="129"/>
      <c r="W10" s="129"/>
      <c r="X10" s="346"/>
      <c r="Y10" s="72"/>
      <c r="Z10" s="141"/>
      <c r="AA10" s="108"/>
      <c r="AB10" s="108"/>
      <c r="AC10" s="108"/>
      <c r="AD10" s="108"/>
      <c r="AE10" s="108"/>
      <c r="AF10" s="108"/>
      <c r="AG10" s="109"/>
      <c r="AH10" s="108"/>
      <c r="AI10" s="36"/>
      <c r="AJ10" s="35"/>
      <c r="AK10" s="128"/>
      <c r="AL10" s="72"/>
      <c r="AM10" s="161"/>
      <c r="AN10" s="391"/>
      <c r="AO10" s="391"/>
      <c r="AP10" s="391"/>
      <c r="AQ10" s="391"/>
      <c r="AR10" s="391"/>
      <c r="AS10" s="391"/>
      <c r="AT10" s="391"/>
      <c r="AU10" s="391"/>
      <c r="AV10" s="392"/>
      <c r="AW10" s="182"/>
    </row>
    <row r="11" spans="1:49" x14ac:dyDescent="0.3">
      <c r="A11" s="181"/>
      <c r="B11" s="201" t="s">
        <v>62</v>
      </c>
      <c r="C11" s="80"/>
      <c r="D11" s="80"/>
      <c r="E11" s="80"/>
      <c r="F11" s="80"/>
      <c r="G11" s="80"/>
      <c r="H11" s="72"/>
      <c r="I11" s="72"/>
      <c r="J11" s="80"/>
      <c r="K11" s="80"/>
      <c r="L11" s="79" t="str">
        <f>VLOOKUP(L9,'Excel List 1'!A6:F17,6,FALSE)</f>
        <v/>
      </c>
      <c r="M11" s="222"/>
      <c r="N11" s="72"/>
      <c r="O11" s="75"/>
      <c r="P11" s="129"/>
      <c r="Q11" s="129"/>
      <c r="R11" s="129"/>
      <c r="S11" s="129"/>
      <c r="T11" s="129"/>
      <c r="U11" s="129"/>
      <c r="V11" s="129"/>
      <c r="W11" s="129"/>
      <c r="X11" s="72"/>
      <c r="Y11" s="72"/>
      <c r="Z11" s="141"/>
      <c r="AA11" s="108"/>
      <c r="AB11" s="108"/>
      <c r="AC11" s="108"/>
      <c r="AD11" s="72"/>
      <c r="AE11" s="72"/>
      <c r="AF11" s="108" t="s">
        <v>232</v>
      </c>
      <c r="AG11" s="108"/>
      <c r="AH11" s="109" t="s">
        <v>237</v>
      </c>
      <c r="AI11" s="108"/>
      <c r="AJ11" s="109" t="s">
        <v>236</v>
      </c>
      <c r="AK11" s="76"/>
      <c r="AL11" s="72"/>
      <c r="AM11" s="161"/>
      <c r="AN11" s="114"/>
      <c r="AO11" s="80"/>
      <c r="AP11" s="80"/>
      <c r="AQ11" s="80"/>
      <c r="AR11" s="80"/>
      <c r="AS11" s="80"/>
      <c r="AT11" s="72"/>
      <c r="AU11" s="72"/>
      <c r="AV11" s="76"/>
      <c r="AW11" s="182"/>
    </row>
    <row r="12" spans="1:49" ht="16.2" thickBot="1" x14ac:dyDescent="0.35">
      <c r="A12" s="181"/>
      <c r="B12" s="80"/>
      <c r="C12" s="80"/>
      <c r="D12" s="80"/>
      <c r="E12" s="80"/>
      <c r="F12" s="80"/>
      <c r="G12" s="80"/>
      <c r="H12" s="72"/>
      <c r="I12" s="72"/>
      <c r="J12" s="80"/>
      <c r="K12" s="80"/>
      <c r="L12" s="157"/>
      <c r="M12" s="222"/>
      <c r="N12" s="72"/>
      <c r="O12" s="126"/>
      <c r="P12" s="118"/>
      <c r="Q12" s="118"/>
      <c r="R12" s="216" t="s">
        <v>332</v>
      </c>
      <c r="S12" s="244"/>
      <c r="T12" s="118"/>
      <c r="U12" s="118"/>
      <c r="V12" s="118"/>
      <c r="W12" s="119"/>
      <c r="X12" s="119"/>
      <c r="Y12" s="119"/>
      <c r="Z12" s="141"/>
      <c r="AA12" s="99" t="s">
        <v>235</v>
      </c>
      <c r="AB12" s="100"/>
      <c r="AC12" s="100"/>
      <c r="AD12" s="100"/>
      <c r="AE12" s="100"/>
      <c r="AF12" s="101" t="s">
        <v>234</v>
      </c>
      <c r="AG12" s="100"/>
      <c r="AH12" s="101" t="s">
        <v>233</v>
      </c>
      <c r="AI12" s="100"/>
      <c r="AJ12" s="101" t="s">
        <v>232</v>
      </c>
      <c r="AK12" s="76"/>
      <c r="AL12" s="72"/>
      <c r="AM12" s="161">
        <v>3</v>
      </c>
      <c r="AN12" s="391" t="s">
        <v>468</v>
      </c>
      <c r="AO12" s="391"/>
      <c r="AP12" s="391"/>
      <c r="AQ12" s="391"/>
      <c r="AR12" s="391"/>
      <c r="AS12" s="391"/>
      <c r="AT12" s="391"/>
      <c r="AU12" s="391"/>
      <c r="AV12" s="392"/>
      <c r="AW12" s="182"/>
    </row>
    <row r="13" spans="1:49" ht="16.2" thickTop="1" x14ac:dyDescent="0.3">
      <c r="A13" s="181"/>
      <c r="B13" s="80" t="s">
        <v>24</v>
      </c>
      <c r="C13" s="80"/>
      <c r="D13" s="80"/>
      <c r="E13" s="80"/>
      <c r="F13" s="80"/>
      <c r="G13" s="80"/>
      <c r="H13" s="72"/>
      <c r="I13" s="72"/>
      <c r="J13" s="80"/>
      <c r="K13" s="77"/>
      <c r="L13" s="78"/>
      <c r="M13" s="222"/>
      <c r="N13" s="72"/>
      <c r="O13" s="116" t="s">
        <v>19</v>
      </c>
      <c r="P13" s="80"/>
      <c r="Q13" s="80"/>
      <c r="R13" s="80"/>
      <c r="S13" s="117"/>
      <c r="T13" s="80"/>
      <c r="U13" s="80"/>
      <c r="V13" s="80"/>
      <c r="W13" s="80"/>
      <c r="X13" s="202" t="str">
        <f>L10</f>
        <v/>
      </c>
      <c r="Y13" s="80" t="s">
        <v>21</v>
      </c>
      <c r="Z13" s="141"/>
      <c r="AA13" s="130" t="s">
        <v>318</v>
      </c>
      <c r="AB13" s="131"/>
      <c r="AC13" s="131"/>
      <c r="AD13" s="72"/>
      <c r="AE13" s="72"/>
      <c r="AF13" s="107">
        <v>4</v>
      </c>
      <c r="AG13" s="131"/>
      <c r="AH13" s="102">
        <v>0</v>
      </c>
      <c r="AI13" s="131"/>
      <c r="AJ13" s="107">
        <f t="shared" ref="AJ13:AJ24" si="0">AH13*AF13</f>
        <v>0</v>
      </c>
      <c r="AK13" s="76"/>
      <c r="AL13" s="72"/>
      <c r="AM13" s="75"/>
      <c r="AN13" s="391"/>
      <c r="AO13" s="391"/>
      <c r="AP13" s="391"/>
      <c r="AQ13" s="391"/>
      <c r="AR13" s="391"/>
      <c r="AS13" s="391"/>
      <c r="AT13" s="391"/>
      <c r="AU13" s="391"/>
      <c r="AV13" s="392"/>
      <c r="AW13" s="182"/>
    </row>
    <row r="14" spans="1:49" x14ac:dyDescent="0.3">
      <c r="A14" s="181"/>
      <c r="B14" s="80"/>
      <c r="C14" s="80"/>
      <c r="D14" s="80"/>
      <c r="E14" s="80"/>
      <c r="F14" s="80"/>
      <c r="G14" s="80"/>
      <c r="H14" s="72"/>
      <c r="I14" s="72"/>
      <c r="J14" s="80"/>
      <c r="K14" s="80"/>
      <c r="L14" s="157"/>
      <c r="M14" s="222"/>
      <c r="N14" s="72"/>
      <c r="O14" s="116" t="s">
        <v>339</v>
      </c>
      <c r="P14" s="80"/>
      <c r="Q14" s="80"/>
      <c r="R14" s="80"/>
      <c r="S14" s="117"/>
      <c r="T14" s="80"/>
      <c r="U14" s="80"/>
      <c r="V14" s="80"/>
      <c r="W14" s="80"/>
      <c r="X14" s="94"/>
      <c r="Y14" s="80" t="s">
        <v>21</v>
      </c>
      <c r="Z14" s="141"/>
      <c r="AA14" s="130" t="s">
        <v>231</v>
      </c>
      <c r="AB14" s="131"/>
      <c r="AC14" s="80"/>
      <c r="AD14" s="72"/>
      <c r="AE14" s="72"/>
      <c r="AF14" s="107">
        <v>35</v>
      </c>
      <c r="AG14" s="80"/>
      <c r="AH14" s="102">
        <v>0</v>
      </c>
      <c r="AI14" s="80"/>
      <c r="AJ14" s="107">
        <f t="shared" si="0"/>
        <v>0</v>
      </c>
      <c r="AK14" s="76"/>
      <c r="AL14" s="72"/>
      <c r="AM14" s="161"/>
      <c r="AN14" s="391"/>
      <c r="AO14" s="391"/>
      <c r="AP14" s="391"/>
      <c r="AQ14" s="391"/>
      <c r="AR14" s="391"/>
      <c r="AS14" s="391"/>
      <c r="AT14" s="391"/>
      <c r="AU14" s="391"/>
      <c r="AV14" s="392"/>
      <c r="AW14" s="182"/>
    </row>
    <row r="15" spans="1:49" x14ac:dyDescent="0.3">
      <c r="A15" s="181"/>
      <c r="B15" s="80" t="s">
        <v>63</v>
      </c>
      <c r="C15" s="80"/>
      <c r="D15" s="80"/>
      <c r="E15" s="80"/>
      <c r="F15" s="80"/>
      <c r="G15" s="80"/>
      <c r="H15" s="72"/>
      <c r="I15" s="72"/>
      <c r="J15" s="80"/>
      <c r="K15" s="77"/>
      <c r="L15" s="78"/>
      <c r="M15" s="222"/>
      <c r="N15" s="72"/>
      <c r="O15" s="116" t="s">
        <v>256</v>
      </c>
      <c r="P15" s="80"/>
      <c r="Q15" s="80"/>
      <c r="R15" s="80"/>
      <c r="S15" s="80"/>
      <c r="T15" s="80"/>
      <c r="U15" s="80"/>
      <c r="V15" s="80"/>
      <c r="W15" s="80"/>
      <c r="X15" s="95" t="str">
        <f>IF(X14&gt;0,((X13-X14)*0.43346),IF(X14=0," "))</f>
        <v xml:space="preserve"> </v>
      </c>
      <c r="Y15" s="80" t="s">
        <v>20</v>
      </c>
      <c r="Z15" s="141"/>
      <c r="AA15" s="130" t="s">
        <v>230</v>
      </c>
      <c r="AB15" s="131"/>
      <c r="AC15" s="80"/>
      <c r="AD15" s="72"/>
      <c r="AE15" s="72"/>
      <c r="AF15" s="107">
        <v>16</v>
      </c>
      <c r="AG15" s="80"/>
      <c r="AH15" s="102">
        <v>0</v>
      </c>
      <c r="AI15" s="80"/>
      <c r="AJ15" s="107">
        <f t="shared" si="0"/>
        <v>0</v>
      </c>
      <c r="AK15" s="76"/>
      <c r="AL15" s="72"/>
      <c r="AM15" s="161"/>
      <c r="AN15" s="391"/>
      <c r="AO15" s="391"/>
      <c r="AP15" s="391"/>
      <c r="AQ15" s="391"/>
      <c r="AR15" s="391"/>
      <c r="AS15" s="391"/>
      <c r="AT15" s="391"/>
      <c r="AU15" s="391"/>
      <c r="AV15" s="392"/>
      <c r="AW15" s="182"/>
    </row>
    <row r="16" spans="1:49" x14ac:dyDescent="0.3">
      <c r="A16" s="181"/>
      <c r="B16" s="108"/>
      <c r="C16" s="108"/>
      <c r="D16" s="108"/>
      <c r="E16" s="108"/>
      <c r="F16" s="108"/>
      <c r="G16" s="108"/>
      <c r="H16" s="121"/>
      <c r="I16" s="121"/>
      <c r="J16" s="108"/>
      <c r="K16" s="108"/>
      <c r="L16" s="157"/>
      <c r="M16" s="222"/>
      <c r="N16" s="72"/>
      <c r="O16" s="85"/>
      <c r="P16" s="80"/>
      <c r="Q16" s="80"/>
      <c r="R16" s="80"/>
      <c r="S16" s="80"/>
      <c r="T16" s="80"/>
      <c r="U16" s="80"/>
      <c r="V16" s="80"/>
      <c r="W16" s="80"/>
      <c r="X16" s="80"/>
      <c r="Y16" s="80"/>
      <c r="Z16" s="141"/>
      <c r="AA16" s="130" t="s">
        <v>319</v>
      </c>
      <c r="AB16" s="131"/>
      <c r="AC16" s="80"/>
      <c r="AD16" s="72"/>
      <c r="AE16" s="72"/>
      <c r="AF16" s="107">
        <v>35</v>
      </c>
      <c r="AG16" s="80"/>
      <c r="AH16" s="102">
        <v>0</v>
      </c>
      <c r="AI16" s="80"/>
      <c r="AJ16" s="107">
        <f t="shared" si="0"/>
        <v>0</v>
      </c>
      <c r="AK16" s="76"/>
      <c r="AL16" s="72"/>
      <c r="AM16" s="161"/>
      <c r="AN16" s="391"/>
      <c r="AO16" s="391"/>
      <c r="AP16" s="391"/>
      <c r="AQ16" s="391"/>
      <c r="AR16" s="391"/>
      <c r="AS16" s="391"/>
      <c r="AT16" s="391"/>
      <c r="AU16" s="391"/>
      <c r="AV16" s="392"/>
      <c r="AW16" s="182"/>
    </row>
    <row r="17" spans="1:63" x14ac:dyDescent="0.3">
      <c r="A17" s="181"/>
      <c r="B17" s="108" t="s">
        <v>447</v>
      </c>
      <c r="C17" s="108"/>
      <c r="D17" s="108"/>
      <c r="E17" s="108"/>
      <c r="F17" s="108"/>
      <c r="G17" s="108"/>
      <c r="H17" s="121"/>
      <c r="I17" s="121"/>
      <c r="J17" s="108"/>
      <c r="K17" s="108"/>
      <c r="L17" s="78"/>
      <c r="M17" s="222"/>
      <c r="N17" s="72"/>
      <c r="O17" s="116" t="s">
        <v>18</v>
      </c>
      <c r="P17" s="80"/>
      <c r="Q17" s="80"/>
      <c r="R17" s="80"/>
      <c r="S17" s="80"/>
      <c r="T17" s="80"/>
      <c r="U17" s="80"/>
      <c r="V17" s="80"/>
      <c r="W17" s="80"/>
      <c r="X17" s="202" t="str">
        <f>L11</f>
        <v/>
      </c>
      <c r="Y17" s="80" t="s">
        <v>21</v>
      </c>
      <c r="Z17" s="141"/>
      <c r="AA17" s="130" t="s">
        <v>229</v>
      </c>
      <c r="AB17" s="131"/>
      <c r="AC17" s="80"/>
      <c r="AD17" s="72"/>
      <c r="AE17" s="72"/>
      <c r="AF17" s="107">
        <v>2</v>
      </c>
      <c r="AG17" s="80"/>
      <c r="AH17" s="102">
        <v>0</v>
      </c>
      <c r="AI17" s="80"/>
      <c r="AJ17" s="107">
        <f t="shared" si="0"/>
        <v>0</v>
      </c>
      <c r="AK17" s="76"/>
      <c r="AL17" s="72"/>
      <c r="AM17" s="161"/>
      <c r="AN17" s="391"/>
      <c r="AO17" s="391"/>
      <c r="AP17" s="391"/>
      <c r="AQ17" s="391"/>
      <c r="AR17" s="391"/>
      <c r="AS17" s="391"/>
      <c r="AT17" s="391"/>
      <c r="AU17" s="391"/>
      <c r="AV17" s="392"/>
      <c r="AW17" s="182"/>
    </row>
    <row r="18" spans="1:63" x14ac:dyDescent="0.3">
      <c r="A18" s="181"/>
      <c r="B18" s="80"/>
      <c r="C18" s="80"/>
      <c r="D18" s="80"/>
      <c r="E18" s="80"/>
      <c r="F18" s="80"/>
      <c r="G18" s="80"/>
      <c r="H18" s="80"/>
      <c r="I18" s="80"/>
      <c r="J18" s="80"/>
      <c r="K18" s="80"/>
      <c r="L18" s="72"/>
      <c r="M18" s="220"/>
      <c r="N18" s="72"/>
      <c r="O18" s="116" t="s">
        <v>340</v>
      </c>
      <c r="P18" s="114"/>
      <c r="Q18" s="114"/>
      <c r="R18" s="114"/>
      <c r="S18" s="114"/>
      <c r="T18" s="80"/>
      <c r="U18" s="80"/>
      <c r="V18" s="80"/>
      <c r="W18" s="80"/>
      <c r="X18" s="94"/>
      <c r="Y18" s="80" t="s">
        <v>21</v>
      </c>
      <c r="Z18" s="141"/>
      <c r="AA18" s="130" t="s">
        <v>228</v>
      </c>
      <c r="AB18" s="131"/>
      <c r="AC18" s="80"/>
      <c r="AD18" s="72"/>
      <c r="AE18" s="72"/>
      <c r="AF18" s="107">
        <v>2.5</v>
      </c>
      <c r="AG18" s="80"/>
      <c r="AH18" s="102">
        <v>0</v>
      </c>
      <c r="AI18" s="80"/>
      <c r="AJ18" s="107">
        <f t="shared" si="0"/>
        <v>0</v>
      </c>
      <c r="AK18" s="76"/>
      <c r="AL18" s="72"/>
      <c r="AM18" s="161"/>
      <c r="AN18" s="391"/>
      <c r="AO18" s="391"/>
      <c r="AP18" s="391"/>
      <c r="AQ18" s="391"/>
      <c r="AR18" s="391"/>
      <c r="AS18" s="391"/>
      <c r="AT18" s="391"/>
      <c r="AU18" s="391"/>
      <c r="AV18" s="392"/>
      <c r="AW18" s="182"/>
    </row>
    <row r="19" spans="1:63" x14ac:dyDescent="0.3">
      <c r="A19" s="237"/>
      <c r="B19" s="186"/>
      <c r="C19" s="187"/>
      <c r="D19" s="187"/>
      <c r="E19" s="187"/>
      <c r="F19" s="216" t="s">
        <v>251</v>
      </c>
      <c r="G19" s="187"/>
      <c r="H19" s="187"/>
      <c r="I19" s="188"/>
      <c r="J19" s="188"/>
      <c r="K19" s="188"/>
      <c r="L19" s="186"/>
      <c r="M19" s="220"/>
      <c r="N19" s="72"/>
      <c r="O19" s="116" t="s">
        <v>257</v>
      </c>
      <c r="P19" s="80"/>
      <c r="Q19" s="80"/>
      <c r="R19" s="80"/>
      <c r="S19" s="117"/>
      <c r="T19" s="80"/>
      <c r="U19" s="80"/>
      <c r="V19" s="80"/>
      <c r="W19" s="80"/>
      <c r="X19" s="95" t="str">
        <f>IF(X18&gt;0,((X17-X18)*0.43346),IF(X18=0," "))</f>
        <v xml:space="preserve"> </v>
      </c>
      <c r="Y19" s="80" t="s">
        <v>20</v>
      </c>
      <c r="Z19" s="141"/>
      <c r="AA19" s="130" t="s">
        <v>320</v>
      </c>
      <c r="AB19" s="131"/>
      <c r="AC19" s="80"/>
      <c r="AD19" s="72"/>
      <c r="AE19" s="72"/>
      <c r="AF19" s="107">
        <v>1.5</v>
      </c>
      <c r="AG19" s="80"/>
      <c r="AH19" s="102">
        <v>0</v>
      </c>
      <c r="AI19" s="80"/>
      <c r="AJ19" s="107">
        <f t="shared" si="0"/>
        <v>0</v>
      </c>
      <c r="AK19" s="76"/>
      <c r="AL19" s="72"/>
      <c r="AM19" s="161"/>
      <c r="AN19" s="391"/>
      <c r="AO19" s="391"/>
      <c r="AP19" s="391"/>
      <c r="AQ19" s="391"/>
      <c r="AR19" s="391"/>
      <c r="AS19" s="391"/>
      <c r="AT19" s="391"/>
      <c r="AU19" s="391"/>
      <c r="AV19" s="392"/>
      <c r="AW19" s="182"/>
    </row>
    <row r="20" spans="1:63" ht="15.75" customHeight="1" x14ac:dyDescent="0.3">
      <c r="A20" s="181"/>
      <c r="B20" s="189"/>
      <c r="C20" s="189"/>
      <c r="D20" s="189"/>
      <c r="E20" s="189"/>
      <c r="F20" s="189"/>
      <c r="G20" s="189"/>
      <c r="H20" s="189"/>
      <c r="I20" s="146"/>
      <c r="J20" s="146"/>
      <c r="K20" s="146"/>
      <c r="L20" s="146"/>
      <c r="M20" s="220"/>
      <c r="N20" s="72"/>
      <c r="O20" s="116"/>
      <c r="P20" s="80"/>
      <c r="Q20" s="80"/>
      <c r="R20" s="80"/>
      <c r="S20" s="117"/>
      <c r="T20" s="117"/>
      <c r="U20" s="80"/>
      <c r="V20" s="80"/>
      <c r="W20" s="80"/>
      <c r="X20" s="80"/>
      <c r="Y20" s="80"/>
      <c r="Z20" s="141"/>
      <c r="AA20" s="130" t="s">
        <v>227</v>
      </c>
      <c r="AB20" s="131"/>
      <c r="AC20" s="80"/>
      <c r="AD20" s="72"/>
      <c r="AE20" s="72"/>
      <c r="AF20" s="107">
        <v>2.2000000000000002</v>
      </c>
      <c r="AG20" s="80"/>
      <c r="AH20" s="102">
        <v>0</v>
      </c>
      <c r="AI20" s="80"/>
      <c r="AJ20" s="107">
        <f t="shared" si="0"/>
        <v>0</v>
      </c>
      <c r="AK20" s="76"/>
      <c r="AL20" s="72"/>
      <c r="AM20" s="161"/>
      <c r="AN20" s="114"/>
      <c r="AO20" s="80"/>
      <c r="AP20" s="80"/>
      <c r="AQ20" s="80"/>
      <c r="AR20" s="80"/>
      <c r="AS20" s="80"/>
      <c r="AT20" s="72"/>
      <c r="AU20" s="72"/>
      <c r="AV20" s="76"/>
      <c r="AW20" s="182"/>
    </row>
    <row r="21" spans="1:63" ht="18" customHeight="1" x14ac:dyDescent="0.3">
      <c r="A21" s="181"/>
      <c r="B21" s="190" t="s">
        <v>103</v>
      </c>
      <c r="C21" s="114"/>
      <c r="D21" s="114"/>
      <c r="E21" s="146"/>
      <c r="F21" s="114"/>
      <c r="G21" s="114"/>
      <c r="H21" s="146"/>
      <c r="I21" s="146"/>
      <c r="J21" s="114"/>
      <c r="K21" s="114"/>
      <c r="L21" s="191" t="s">
        <v>104</v>
      </c>
      <c r="M21" s="220"/>
      <c r="N21" s="72"/>
      <c r="O21" s="127" t="s">
        <v>427</v>
      </c>
      <c r="P21" s="129"/>
      <c r="Q21" s="129"/>
      <c r="R21" s="129"/>
      <c r="S21" s="129"/>
      <c r="T21" s="129"/>
      <c r="U21" s="129"/>
      <c r="V21" s="80"/>
      <c r="W21" s="80"/>
      <c r="X21" s="80"/>
      <c r="Y21" s="80"/>
      <c r="Z21" s="141"/>
      <c r="AA21" s="130" t="s">
        <v>226</v>
      </c>
      <c r="AB21" s="131"/>
      <c r="AC21" s="80"/>
      <c r="AD21" s="72"/>
      <c r="AE21" s="72"/>
      <c r="AF21" s="107">
        <v>4</v>
      </c>
      <c r="AG21" s="80"/>
      <c r="AH21" s="102">
        <v>0</v>
      </c>
      <c r="AI21" s="80"/>
      <c r="AJ21" s="107">
        <f t="shared" si="0"/>
        <v>0</v>
      </c>
      <c r="AK21" s="76"/>
      <c r="AL21" s="72"/>
      <c r="AM21" s="161">
        <v>4</v>
      </c>
      <c r="AN21" s="391" t="s">
        <v>469</v>
      </c>
      <c r="AO21" s="391"/>
      <c r="AP21" s="391"/>
      <c r="AQ21" s="391"/>
      <c r="AR21" s="391"/>
      <c r="AS21" s="391"/>
      <c r="AT21" s="391"/>
      <c r="AU21" s="391"/>
      <c r="AV21" s="392"/>
      <c r="AW21" s="182"/>
      <c r="BK21" s="241"/>
    </row>
    <row r="22" spans="1:63" x14ac:dyDescent="0.3">
      <c r="A22" s="181"/>
      <c r="B22" s="114" t="s">
        <v>74</v>
      </c>
      <c r="C22" s="114"/>
      <c r="D22" s="114" t="s">
        <v>90</v>
      </c>
      <c r="E22" s="114" t="s">
        <v>75</v>
      </c>
      <c r="F22" s="114"/>
      <c r="G22" s="114"/>
      <c r="H22" s="146"/>
      <c r="I22" s="114" t="s">
        <v>74</v>
      </c>
      <c r="J22" s="146"/>
      <c r="K22" s="114" t="s">
        <v>90</v>
      </c>
      <c r="L22" s="114" t="s">
        <v>75</v>
      </c>
      <c r="M22" s="220"/>
      <c r="N22" s="72"/>
      <c r="O22" s="248" t="s">
        <v>461</v>
      </c>
      <c r="P22" s="77"/>
      <c r="Q22" s="77"/>
      <c r="R22" s="77"/>
      <c r="S22" s="77"/>
      <c r="T22" s="77"/>
      <c r="U22" s="77"/>
      <c r="V22" s="77"/>
      <c r="W22" s="77"/>
      <c r="X22" s="77"/>
      <c r="Y22" s="77"/>
      <c r="Z22" s="141"/>
      <c r="AA22" s="130" t="s">
        <v>225</v>
      </c>
      <c r="AB22" s="131"/>
      <c r="AC22" s="80"/>
      <c r="AD22" s="72"/>
      <c r="AE22" s="72"/>
      <c r="AF22" s="107">
        <v>2</v>
      </c>
      <c r="AG22" s="80"/>
      <c r="AH22" s="102">
        <v>0</v>
      </c>
      <c r="AI22" s="80"/>
      <c r="AJ22" s="107">
        <f t="shared" si="0"/>
        <v>0</v>
      </c>
      <c r="AK22" s="76"/>
      <c r="AL22" s="72"/>
      <c r="AM22" s="162"/>
      <c r="AN22" s="391"/>
      <c r="AO22" s="391"/>
      <c r="AP22" s="391"/>
      <c r="AQ22" s="391"/>
      <c r="AR22" s="391"/>
      <c r="AS22" s="391"/>
      <c r="AT22" s="391"/>
      <c r="AU22" s="391"/>
      <c r="AV22" s="392"/>
      <c r="AW22" s="182"/>
      <c r="BK22" s="121"/>
    </row>
    <row r="23" spans="1:63" ht="18" customHeight="1" x14ac:dyDescent="0.3">
      <c r="A23" s="181"/>
      <c r="B23" s="78" t="s">
        <v>79</v>
      </c>
      <c r="C23" s="145"/>
      <c r="D23" s="144">
        <v>0</v>
      </c>
      <c r="E23" s="145"/>
      <c r="F23" s="114"/>
      <c r="G23" s="114"/>
      <c r="H23" s="146"/>
      <c r="I23" s="78" t="s">
        <v>79</v>
      </c>
      <c r="J23" s="143"/>
      <c r="K23" s="144">
        <v>0</v>
      </c>
      <c r="L23" s="210"/>
      <c r="M23" s="220"/>
      <c r="N23" s="72"/>
      <c r="O23" s="523" t="s">
        <v>258</v>
      </c>
      <c r="P23" s="391"/>
      <c r="Q23" s="391"/>
      <c r="R23" s="391"/>
      <c r="S23" s="391"/>
      <c r="T23" s="391"/>
      <c r="U23" s="391"/>
      <c r="V23" s="391"/>
      <c r="W23" s="391"/>
      <c r="X23" s="391"/>
      <c r="Y23" s="391"/>
      <c r="Z23" s="141"/>
      <c r="AA23" s="130" t="s">
        <v>224</v>
      </c>
      <c r="AB23" s="131"/>
      <c r="AC23" s="80"/>
      <c r="AD23" s="72"/>
      <c r="AE23" s="72"/>
      <c r="AF23" s="107">
        <v>8</v>
      </c>
      <c r="AG23" s="80"/>
      <c r="AH23" s="102">
        <v>0</v>
      </c>
      <c r="AI23" s="80"/>
      <c r="AJ23" s="107">
        <f t="shared" si="0"/>
        <v>0</v>
      </c>
      <c r="AK23" s="76"/>
      <c r="AL23" s="72"/>
      <c r="AM23" s="75"/>
      <c r="AN23" s="391"/>
      <c r="AO23" s="391"/>
      <c r="AP23" s="391"/>
      <c r="AQ23" s="391"/>
      <c r="AR23" s="391"/>
      <c r="AS23" s="391"/>
      <c r="AT23" s="391"/>
      <c r="AU23" s="391"/>
      <c r="AV23" s="392"/>
      <c r="AW23" s="182"/>
      <c r="BK23" s="242"/>
    </row>
    <row r="24" spans="1:63" x14ac:dyDescent="0.3">
      <c r="A24" s="181"/>
      <c r="B24" s="79" t="s">
        <v>80</v>
      </c>
      <c r="C24" s="192"/>
      <c r="D24" s="193">
        <v>0</v>
      </c>
      <c r="E24" s="239"/>
      <c r="F24" s="114"/>
      <c r="G24" s="114"/>
      <c r="H24" s="146"/>
      <c r="I24" s="78" t="s">
        <v>86</v>
      </c>
      <c r="J24" s="143"/>
      <c r="K24" s="144">
        <v>0</v>
      </c>
      <c r="L24" s="210"/>
      <c r="M24" s="220"/>
      <c r="N24" s="72"/>
      <c r="O24" s="523"/>
      <c r="P24" s="391"/>
      <c r="Q24" s="391"/>
      <c r="R24" s="391"/>
      <c r="S24" s="391"/>
      <c r="T24" s="391"/>
      <c r="U24" s="391"/>
      <c r="V24" s="391"/>
      <c r="W24" s="391"/>
      <c r="X24" s="391"/>
      <c r="Y24" s="391"/>
      <c r="Z24" s="141"/>
      <c r="AA24" s="130" t="s">
        <v>223</v>
      </c>
      <c r="AB24" s="131"/>
      <c r="AC24" s="80"/>
      <c r="AD24" s="72"/>
      <c r="AE24" s="72"/>
      <c r="AF24" s="107">
        <v>6</v>
      </c>
      <c r="AG24" s="80"/>
      <c r="AH24" s="102">
        <v>0</v>
      </c>
      <c r="AI24" s="80"/>
      <c r="AJ24" s="107">
        <f t="shared" si="0"/>
        <v>0</v>
      </c>
      <c r="AK24" s="76"/>
      <c r="AL24" s="72"/>
      <c r="AM24" s="161"/>
      <c r="AN24" s="391"/>
      <c r="AO24" s="391"/>
      <c r="AP24" s="391"/>
      <c r="AQ24" s="391"/>
      <c r="AR24" s="391"/>
      <c r="AS24" s="391"/>
      <c r="AT24" s="391"/>
      <c r="AU24" s="391"/>
      <c r="AV24" s="392"/>
      <c r="AW24" s="182"/>
      <c r="BK24" s="242"/>
    </row>
    <row r="25" spans="1:63" ht="15.75" customHeight="1" x14ac:dyDescent="0.3">
      <c r="A25" s="181"/>
      <c r="B25" s="79" t="s">
        <v>81</v>
      </c>
      <c r="C25" s="192"/>
      <c r="D25" s="193">
        <v>0</v>
      </c>
      <c r="E25" s="239"/>
      <c r="F25" s="114"/>
      <c r="G25" s="114"/>
      <c r="H25" s="146"/>
      <c r="I25" s="78" t="s">
        <v>87</v>
      </c>
      <c r="J25" s="143"/>
      <c r="K25" s="144">
        <v>0</v>
      </c>
      <c r="L25" s="210"/>
      <c r="M25" s="220"/>
      <c r="N25" s="72"/>
      <c r="O25" s="132"/>
      <c r="P25" s="96"/>
      <c r="Q25" s="96"/>
      <c r="R25" s="96"/>
      <c r="S25" s="96"/>
      <c r="T25" s="96"/>
      <c r="U25" s="96"/>
      <c r="V25" s="96"/>
      <c r="W25" s="96"/>
      <c r="X25" s="96"/>
      <c r="Y25" s="96"/>
      <c r="Z25" s="141"/>
      <c r="AA25" s="130"/>
      <c r="AB25" s="131"/>
      <c r="AC25" s="80"/>
      <c r="AD25" s="72"/>
      <c r="AE25" s="72"/>
      <c r="AF25" s="131"/>
      <c r="AG25" s="80"/>
      <c r="AH25" s="133"/>
      <c r="AI25" s="80"/>
      <c r="AJ25" s="133"/>
      <c r="AK25" s="76"/>
      <c r="AL25" s="72"/>
      <c r="AM25" s="75"/>
      <c r="AN25" s="72"/>
      <c r="AO25" s="72"/>
      <c r="AP25" s="72"/>
      <c r="AQ25" s="72"/>
      <c r="AR25" s="72"/>
      <c r="AS25" s="72"/>
      <c r="AT25" s="72"/>
      <c r="AU25" s="72"/>
      <c r="AV25" s="76"/>
      <c r="AW25" s="182"/>
      <c r="BK25" s="242"/>
    </row>
    <row r="26" spans="1:63" x14ac:dyDescent="0.3">
      <c r="A26" s="181"/>
      <c r="B26" s="79" t="s">
        <v>82</v>
      </c>
      <c r="C26" s="192"/>
      <c r="D26" s="193">
        <v>0</v>
      </c>
      <c r="E26" s="239"/>
      <c r="F26" s="114"/>
      <c r="G26" s="114"/>
      <c r="H26" s="146"/>
      <c r="I26" s="78" t="s">
        <v>81</v>
      </c>
      <c r="J26" s="143"/>
      <c r="K26" s="144">
        <v>0</v>
      </c>
      <c r="L26" s="210"/>
      <c r="M26" s="220"/>
      <c r="N26" s="72"/>
      <c r="O26" s="523" t="s">
        <v>259</v>
      </c>
      <c r="P26" s="391"/>
      <c r="Q26" s="391"/>
      <c r="R26" s="391"/>
      <c r="S26" s="391"/>
      <c r="T26" s="391"/>
      <c r="U26" s="391"/>
      <c r="V26" s="391"/>
      <c r="W26" s="391"/>
      <c r="X26" s="391"/>
      <c r="Y26" s="391"/>
      <c r="Z26" s="141"/>
      <c r="AA26" s="130" t="s">
        <v>222</v>
      </c>
      <c r="AB26" s="131"/>
      <c r="AC26" s="80"/>
      <c r="AD26" s="72"/>
      <c r="AE26" s="72"/>
      <c r="AF26" s="131"/>
      <c r="AG26" s="80"/>
      <c r="AH26" s="133"/>
      <c r="AI26" s="80"/>
      <c r="AJ26" s="133"/>
      <c r="AK26" s="76"/>
      <c r="AL26" s="72"/>
      <c r="AM26" s="161">
        <v>5</v>
      </c>
      <c r="AN26" s="391" t="s">
        <v>470</v>
      </c>
      <c r="AO26" s="391"/>
      <c r="AP26" s="391"/>
      <c r="AQ26" s="391"/>
      <c r="AR26" s="391"/>
      <c r="AS26" s="391"/>
      <c r="AT26" s="391"/>
      <c r="AU26" s="391"/>
      <c r="AV26" s="392"/>
      <c r="AW26" s="182"/>
      <c r="BK26" s="108"/>
    </row>
    <row r="27" spans="1:63" x14ac:dyDescent="0.3">
      <c r="A27" s="181"/>
      <c r="B27" s="383" t="s">
        <v>445</v>
      </c>
      <c r="C27" s="137"/>
      <c r="D27" s="137"/>
      <c r="E27" s="137"/>
      <c r="F27" s="114"/>
      <c r="G27" s="114"/>
      <c r="H27" s="146"/>
      <c r="I27" s="78" t="s">
        <v>82</v>
      </c>
      <c r="J27" s="143"/>
      <c r="K27" s="375">
        <v>0</v>
      </c>
      <c r="L27" s="210"/>
      <c r="M27" s="220"/>
      <c r="N27" s="72"/>
      <c r="O27" s="523"/>
      <c r="P27" s="391"/>
      <c r="Q27" s="391"/>
      <c r="R27" s="391"/>
      <c r="S27" s="391"/>
      <c r="T27" s="391"/>
      <c r="U27" s="391"/>
      <c r="V27" s="391"/>
      <c r="W27" s="391"/>
      <c r="X27" s="391"/>
      <c r="Y27" s="391"/>
      <c r="Z27" s="141"/>
      <c r="AA27" s="130" t="s">
        <v>221</v>
      </c>
      <c r="AB27" s="131"/>
      <c r="AC27" s="80"/>
      <c r="AD27" s="72"/>
      <c r="AE27" s="72"/>
      <c r="AF27" s="107">
        <v>5</v>
      </c>
      <c r="AG27" s="80"/>
      <c r="AH27" s="102">
        <v>0</v>
      </c>
      <c r="AI27" s="80"/>
      <c r="AJ27" s="107">
        <f>AH27*AF27</f>
        <v>0</v>
      </c>
      <c r="AK27" s="76"/>
      <c r="AL27" s="72"/>
      <c r="AM27" s="161"/>
      <c r="AN27" s="391"/>
      <c r="AO27" s="391"/>
      <c r="AP27" s="391"/>
      <c r="AQ27" s="391"/>
      <c r="AR27" s="391"/>
      <c r="AS27" s="391"/>
      <c r="AT27" s="391"/>
      <c r="AU27" s="391"/>
      <c r="AV27" s="392"/>
      <c r="AW27" s="182"/>
      <c r="BK27" s="108"/>
    </row>
    <row r="28" spans="1:63" x14ac:dyDescent="0.3">
      <c r="A28" s="181"/>
      <c r="B28" s="383" t="s">
        <v>446</v>
      </c>
      <c r="C28" s="166"/>
      <c r="D28" s="166"/>
      <c r="E28" s="166"/>
      <c r="M28" s="220"/>
      <c r="N28" s="72"/>
      <c r="O28" s="523"/>
      <c r="P28" s="391"/>
      <c r="Q28" s="391"/>
      <c r="R28" s="391"/>
      <c r="S28" s="391"/>
      <c r="T28" s="391"/>
      <c r="U28" s="391"/>
      <c r="V28" s="391"/>
      <c r="W28" s="391"/>
      <c r="X28" s="391"/>
      <c r="Y28" s="391"/>
      <c r="Z28" s="141"/>
      <c r="AA28" s="130" t="s">
        <v>220</v>
      </c>
      <c r="AB28" s="131"/>
      <c r="AC28" s="80"/>
      <c r="AD28" s="72"/>
      <c r="AE28" s="72"/>
      <c r="AF28" s="107">
        <v>9</v>
      </c>
      <c r="AG28" s="80"/>
      <c r="AH28" s="102">
        <v>0</v>
      </c>
      <c r="AI28" s="80"/>
      <c r="AJ28" s="107">
        <f>AH28*AF28</f>
        <v>0</v>
      </c>
      <c r="AK28" s="76"/>
      <c r="AL28" s="72"/>
      <c r="AM28" s="162"/>
      <c r="AN28" s="391"/>
      <c r="AO28" s="391"/>
      <c r="AP28" s="391"/>
      <c r="AQ28" s="391"/>
      <c r="AR28" s="391"/>
      <c r="AS28" s="391"/>
      <c r="AT28" s="391"/>
      <c r="AU28" s="391"/>
      <c r="AV28" s="392"/>
      <c r="AW28" s="182"/>
      <c r="BK28" s="108"/>
    </row>
    <row r="29" spans="1:63" x14ac:dyDescent="0.3">
      <c r="A29" s="181"/>
      <c r="B29" s="114" t="s">
        <v>252</v>
      </c>
      <c r="C29" s="114"/>
      <c r="D29" s="145">
        <f>SUM(D23:D26)</f>
        <v>0</v>
      </c>
      <c r="E29" s="114" t="s">
        <v>300</v>
      </c>
      <c r="F29" s="114"/>
      <c r="G29" s="146"/>
      <c r="H29" s="146"/>
      <c r="I29" s="114" t="s">
        <v>252</v>
      </c>
      <c r="J29" s="114"/>
      <c r="K29" s="145">
        <f>SUM(K23:K27)</f>
        <v>0</v>
      </c>
      <c r="L29" s="114" t="s">
        <v>300</v>
      </c>
      <c r="M29" s="220"/>
      <c r="N29" s="72"/>
      <c r="O29" s="523"/>
      <c r="P29" s="391"/>
      <c r="Q29" s="391"/>
      <c r="R29" s="391"/>
      <c r="S29" s="391"/>
      <c r="T29" s="391"/>
      <c r="U29" s="391"/>
      <c r="V29" s="391"/>
      <c r="W29" s="391"/>
      <c r="X29" s="391"/>
      <c r="Y29" s="391"/>
      <c r="Z29" s="141"/>
      <c r="AA29" s="130" t="s">
        <v>219</v>
      </c>
      <c r="AB29" s="131"/>
      <c r="AC29" s="80"/>
      <c r="AD29" s="72"/>
      <c r="AE29" s="72"/>
      <c r="AF29" s="107">
        <v>12</v>
      </c>
      <c r="AG29" s="80"/>
      <c r="AH29" s="102">
        <v>0</v>
      </c>
      <c r="AI29" s="80"/>
      <c r="AJ29" s="107">
        <f>AH29*AF29</f>
        <v>0</v>
      </c>
      <c r="AK29" s="76"/>
      <c r="AL29" s="72"/>
      <c r="AM29" s="75"/>
      <c r="AN29" s="391"/>
      <c r="AO29" s="391"/>
      <c r="AP29" s="391"/>
      <c r="AQ29" s="391"/>
      <c r="AR29" s="391"/>
      <c r="AS29" s="391"/>
      <c r="AT29" s="391"/>
      <c r="AU29" s="391"/>
      <c r="AV29" s="392"/>
      <c r="AW29" s="182"/>
      <c r="BK29" s="108"/>
    </row>
    <row r="30" spans="1:63" ht="15.75" customHeight="1" x14ac:dyDescent="0.3">
      <c r="A30" s="181"/>
      <c r="B30" s="114"/>
      <c r="C30" s="114"/>
      <c r="D30" s="146"/>
      <c r="E30" s="146"/>
      <c r="F30" s="146"/>
      <c r="G30" s="146"/>
      <c r="H30" s="146"/>
      <c r="I30" s="114"/>
      <c r="J30" s="114"/>
      <c r="K30" s="114"/>
      <c r="L30" s="114"/>
      <c r="M30" s="220"/>
      <c r="N30" s="72"/>
      <c r="O30" s="75"/>
      <c r="P30" s="82"/>
      <c r="Q30" s="82"/>
      <c r="R30" s="82"/>
      <c r="S30" s="82"/>
      <c r="T30" s="82"/>
      <c r="U30" s="82"/>
      <c r="V30" s="82"/>
      <c r="W30" s="80"/>
      <c r="X30" s="80"/>
      <c r="Y30" s="80"/>
      <c r="Z30" s="141"/>
      <c r="AA30" s="130"/>
      <c r="AB30" s="131"/>
      <c r="AC30" s="80"/>
      <c r="AD30" s="72"/>
      <c r="AE30" s="72"/>
      <c r="AF30" s="131"/>
      <c r="AG30" s="80"/>
      <c r="AH30" s="133"/>
      <c r="AI30" s="80"/>
      <c r="AJ30" s="133"/>
      <c r="AK30" s="76"/>
      <c r="AL30" s="72"/>
      <c r="AM30" s="75"/>
      <c r="AN30" s="72"/>
      <c r="AO30" s="96"/>
      <c r="AP30" s="96"/>
      <c r="AQ30" s="96"/>
      <c r="AR30" s="96"/>
      <c r="AS30" s="96"/>
      <c r="AT30" s="96"/>
      <c r="AU30" s="96"/>
      <c r="AV30" s="366"/>
      <c r="AW30" s="182"/>
      <c r="BK30" s="108"/>
    </row>
    <row r="31" spans="1:63" x14ac:dyDescent="0.3">
      <c r="A31" s="181"/>
      <c r="B31" s="190" t="s">
        <v>100</v>
      </c>
      <c r="C31" s="114"/>
      <c r="D31" s="114"/>
      <c r="E31" s="146"/>
      <c r="F31" s="146"/>
      <c r="G31" s="146"/>
      <c r="H31" s="146"/>
      <c r="I31" s="146"/>
      <c r="J31" s="114"/>
      <c r="K31" s="114"/>
      <c r="L31" s="191" t="s">
        <v>101</v>
      </c>
      <c r="M31" s="220"/>
      <c r="N31" s="72"/>
      <c r="O31" s="342" t="s">
        <v>336</v>
      </c>
      <c r="P31" s="129"/>
      <c r="Q31" s="129"/>
      <c r="R31" s="129"/>
      <c r="S31" s="129"/>
      <c r="T31" s="129"/>
      <c r="U31" s="129"/>
      <c r="V31" s="129"/>
      <c r="W31" s="129"/>
      <c r="X31" s="129"/>
      <c r="Y31" s="129"/>
      <c r="Z31" s="141"/>
      <c r="AA31" s="130" t="s">
        <v>218</v>
      </c>
      <c r="AB31" s="131"/>
      <c r="AC31" s="80"/>
      <c r="AD31" s="72"/>
      <c r="AE31" s="72"/>
      <c r="AF31" s="131"/>
      <c r="AG31" s="80"/>
      <c r="AH31" s="133"/>
      <c r="AI31" s="80"/>
      <c r="AJ31" s="133"/>
      <c r="AK31" s="76"/>
      <c r="AL31" s="72"/>
      <c r="AM31" s="161">
        <v>6</v>
      </c>
      <c r="AN31" s="391" t="s">
        <v>471</v>
      </c>
      <c r="AO31" s="391"/>
      <c r="AP31" s="391"/>
      <c r="AQ31" s="391"/>
      <c r="AR31" s="391"/>
      <c r="AS31" s="391"/>
      <c r="AT31" s="391"/>
      <c r="AU31" s="391"/>
      <c r="AV31" s="392"/>
      <c r="AW31" s="182"/>
      <c r="BK31" s="108"/>
    </row>
    <row r="32" spans="1:63" ht="15.75" customHeight="1" x14ac:dyDescent="0.3">
      <c r="A32" s="181"/>
      <c r="B32" s="114" t="s">
        <v>74</v>
      </c>
      <c r="C32" s="146"/>
      <c r="D32" s="114" t="s">
        <v>90</v>
      </c>
      <c r="E32" s="114" t="s">
        <v>75</v>
      </c>
      <c r="F32" s="146"/>
      <c r="G32" s="146"/>
      <c r="H32" s="146"/>
      <c r="I32" s="114" t="s">
        <v>74</v>
      </c>
      <c r="J32" s="146"/>
      <c r="K32" s="114" t="s">
        <v>90</v>
      </c>
      <c r="L32" s="114" t="s">
        <v>75</v>
      </c>
      <c r="M32" s="220"/>
      <c r="N32" s="72"/>
      <c r="O32" s="342" t="s">
        <v>462</v>
      </c>
      <c r="P32" s="129"/>
      <c r="Q32" s="129"/>
      <c r="R32" s="129"/>
      <c r="S32" s="129"/>
      <c r="T32" s="129"/>
      <c r="U32" s="129"/>
      <c r="V32" s="129"/>
      <c r="W32" s="129"/>
      <c r="X32" s="129"/>
      <c r="Y32" s="129"/>
      <c r="Z32" s="141"/>
      <c r="AA32" s="130" t="s">
        <v>217</v>
      </c>
      <c r="AB32" s="131"/>
      <c r="AC32" s="80"/>
      <c r="AD32" s="72"/>
      <c r="AE32" s="72"/>
      <c r="AF32" s="107">
        <v>10</v>
      </c>
      <c r="AG32" s="80"/>
      <c r="AH32" s="102">
        <v>0</v>
      </c>
      <c r="AI32" s="80"/>
      <c r="AJ32" s="107">
        <f>AH32*AF32</f>
        <v>0</v>
      </c>
      <c r="AK32" s="76"/>
      <c r="AL32" s="72"/>
      <c r="AM32" s="161"/>
      <c r="AN32" s="391"/>
      <c r="AO32" s="391"/>
      <c r="AP32" s="391"/>
      <c r="AQ32" s="391"/>
      <c r="AR32" s="391"/>
      <c r="AS32" s="391"/>
      <c r="AT32" s="391"/>
      <c r="AU32" s="391"/>
      <c r="AV32" s="392"/>
      <c r="AW32" s="182"/>
      <c r="BK32" s="108"/>
    </row>
    <row r="33" spans="1:63" x14ac:dyDescent="0.3">
      <c r="A33" s="181"/>
      <c r="B33" s="78" t="s">
        <v>93</v>
      </c>
      <c r="C33" s="143"/>
      <c r="D33" s="144">
        <v>0</v>
      </c>
      <c r="E33" s="210"/>
      <c r="F33" s="146"/>
      <c r="G33" s="146"/>
      <c r="H33" s="146"/>
      <c r="I33" s="78" t="s">
        <v>77</v>
      </c>
      <c r="J33" s="143"/>
      <c r="K33" s="144">
        <v>0</v>
      </c>
      <c r="L33" s="210"/>
      <c r="M33" s="220"/>
      <c r="N33" s="72"/>
      <c r="O33" s="342" t="s">
        <v>337</v>
      </c>
      <c r="P33" s="129"/>
      <c r="Q33" s="129"/>
      <c r="R33" s="129"/>
      <c r="S33" s="129"/>
      <c r="T33" s="129"/>
      <c r="U33" s="129"/>
      <c r="V33" s="129"/>
      <c r="W33" s="129"/>
      <c r="X33" s="129"/>
      <c r="Y33" s="129"/>
      <c r="Z33" s="141"/>
      <c r="AA33" s="130" t="s">
        <v>216</v>
      </c>
      <c r="AB33" s="131"/>
      <c r="AC33" s="80"/>
      <c r="AD33" s="72"/>
      <c r="AE33" s="72"/>
      <c r="AF33" s="107">
        <v>2</v>
      </c>
      <c r="AG33" s="80"/>
      <c r="AH33" s="102">
        <v>0</v>
      </c>
      <c r="AI33" s="80"/>
      <c r="AJ33" s="107">
        <f>AH33*AF33</f>
        <v>0</v>
      </c>
      <c r="AK33" s="76"/>
      <c r="AL33" s="72"/>
      <c r="AM33" s="162"/>
      <c r="AN33" s="391"/>
      <c r="AO33" s="391"/>
      <c r="AP33" s="391"/>
      <c r="AQ33" s="391"/>
      <c r="AR33" s="391"/>
      <c r="AS33" s="391"/>
      <c r="AT33" s="391"/>
      <c r="AU33" s="391"/>
      <c r="AV33" s="392"/>
      <c r="AW33" s="182"/>
      <c r="BK33" s="121"/>
    </row>
    <row r="34" spans="1:63" x14ac:dyDescent="0.3">
      <c r="A34" s="181"/>
      <c r="B34" s="78" t="s">
        <v>94</v>
      </c>
      <c r="C34" s="143"/>
      <c r="D34" s="144">
        <v>0</v>
      </c>
      <c r="E34" s="210"/>
      <c r="F34" s="146"/>
      <c r="G34" s="146"/>
      <c r="H34" s="146"/>
      <c r="I34" s="79" t="s">
        <v>78</v>
      </c>
      <c r="J34" s="147"/>
      <c r="K34" s="148">
        <v>0</v>
      </c>
      <c r="L34" s="240"/>
      <c r="M34" s="220"/>
      <c r="N34" s="72"/>
      <c r="O34" s="248"/>
      <c r="P34" s="246"/>
      <c r="Q34" s="246"/>
      <c r="R34" s="246"/>
      <c r="S34" s="246"/>
      <c r="T34" s="246"/>
      <c r="U34" s="246"/>
      <c r="V34" s="246"/>
      <c r="W34" s="246"/>
      <c r="X34" s="246"/>
      <c r="Y34" s="246"/>
      <c r="Z34" s="141"/>
      <c r="AA34" s="130" t="s">
        <v>215</v>
      </c>
      <c r="AB34" s="131"/>
      <c r="AC34" s="80"/>
      <c r="AD34" s="72"/>
      <c r="AE34" s="72"/>
      <c r="AF34" s="107">
        <v>2</v>
      </c>
      <c r="AG34" s="80"/>
      <c r="AH34" s="102">
        <v>0</v>
      </c>
      <c r="AI34" s="80"/>
      <c r="AJ34" s="107">
        <f>AH34*AF34</f>
        <v>0</v>
      </c>
      <c r="AK34" s="76"/>
      <c r="AL34" s="72"/>
      <c r="AM34" s="162"/>
      <c r="AN34" s="391"/>
      <c r="AO34" s="391"/>
      <c r="AP34" s="391"/>
      <c r="AQ34" s="391"/>
      <c r="AR34" s="391"/>
      <c r="AS34" s="391"/>
      <c r="AT34" s="391"/>
      <c r="AU34" s="391"/>
      <c r="AV34" s="392"/>
      <c r="AW34" s="182"/>
      <c r="BK34" s="243"/>
    </row>
    <row r="35" spans="1:63" ht="15.75" customHeight="1" thickBot="1" x14ac:dyDescent="0.35">
      <c r="A35" s="181"/>
      <c r="B35" s="79" t="s">
        <v>95</v>
      </c>
      <c r="C35" s="147"/>
      <c r="D35" s="148">
        <v>0</v>
      </c>
      <c r="E35" s="240"/>
      <c r="F35" s="146"/>
      <c r="G35" s="146"/>
      <c r="H35" s="146"/>
      <c r="I35" s="78" t="s">
        <v>98</v>
      </c>
      <c r="J35" s="143"/>
      <c r="K35" s="144">
        <v>0</v>
      </c>
      <c r="L35" s="210"/>
      <c r="M35" s="220"/>
      <c r="N35" s="72"/>
      <c r="O35" s="75"/>
      <c r="P35" s="72"/>
      <c r="Q35" s="72"/>
      <c r="R35" s="72"/>
      <c r="S35" s="72"/>
      <c r="T35" s="72"/>
      <c r="U35" s="72"/>
      <c r="V35" s="72"/>
      <c r="W35" s="72"/>
      <c r="X35" s="72"/>
      <c r="Y35" s="72"/>
      <c r="Z35" s="141"/>
      <c r="AA35" s="105"/>
      <c r="AB35" s="106"/>
      <c r="AC35" s="105"/>
      <c r="AD35" s="105"/>
      <c r="AE35" s="105"/>
      <c r="AF35" s="106"/>
      <c r="AG35" s="105"/>
      <c r="AH35" s="106"/>
      <c r="AI35" s="105"/>
      <c r="AJ35" s="106"/>
      <c r="AK35" s="76"/>
      <c r="AL35" s="72"/>
      <c r="AM35" s="75"/>
      <c r="AN35" s="72"/>
      <c r="AO35" s="96"/>
      <c r="AP35" s="96"/>
      <c r="AQ35" s="96"/>
      <c r="AR35" s="96"/>
      <c r="AS35" s="96"/>
      <c r="AT35" s="96"/>
      <c r="AU35" s="96"/>
      <c r="AV35" s="366"/>
      <c r="AW35" s="182"/>
      <c r="BK35" s="243"/>
    </row>
    <row r="36" spans="1:63" ht="16.2" thickTop="1" x14ac:dyDescent="0.3">
      <c r="A36" s="181"/>
      <c r="B36" s="79" t="s">
        <v>96</v>
      </c>
      <c r="C36" s="147"/>
      <c r="D36" s="148">
        <v>0</v>
      </c>
      <c r="E36" s="240"/>
      <c r="F36" s="146"/>
      <c r="G36" s="146"/>
      <c r="H36" s="146"/>
      <c r="I36" s="79" t="s">
        <v>87</v>
      </c>
      <c r="J36" s="147"/>
      <c r="K36" s="148">
        <v>0</v>
      </c>
      <c r="L36" s="240"/>
      <c r="M36" s="220"/>
      <c r="N36" s="72"/>
      <c r="O36" s="75"/>
      <c r="P36" s="391" t="s">
        <v>68</v>
      </c>
      <c r="Q36" s="391"/>
      <c r="R36" s="391"/>
      <c r="S36" s="391"/>
      <c r="T36" s="391"/>
      <c r="U36" s="391"/>
      <c r="V36" s="391"/>
      <c r="W36" s="391"/>
      <c r="X36" s="391"/>
      <c r="Y36" s="391"/>
      <c r="Z36" s="141"/>
      <c r="AA36" s="72"/>
      <c r="AB36" s="35"/>
      <c r="AC36" s="35"/>
      <c r="AD36" s="72"/>
      <c r="AE36" s="72"/>
      <c r="AF36" s="35"/>
      <c r="AG36" s="35"/>
      <c r="AH36" s="35"/>
      <c r="AI36" s="36"/>
      <c r="AJ36" s="35"/>
      <c r="AK36" s="134"/>
      <c r="AL36" s="72"/>
      <c r="AM36" s="161">
        <v>7</v>
      </c>
      <c r="AN36" s="391" t="s">
        <v>321</v>
      </c>
      <c r="AO36" s="391"/>
      <c r="AP36" s="391"/>
      <c r="AQ36" s="391"/>
      <c r="AR36" s="391"/>
      <c r="AS36" s="391"/>
      <c r="AT36" s="391"/>
      <c r="AU36" s="391"/>
      <c r="AV36" s="392"/>
      <c r="AW36" s="182"/>
      <c r="BK36" s="121"/>
    </row>
    <row r="37" spans="1:63" x14ac:dyDescent="0.3">
      <c r="A37" s="181"/>
      <c r="B37" s="146"/>
      <c r="C37" s="114"/>
      <c r="D37" s="114"/>
      <c r="E37" s="114"/>
      <c r="F37" s="114"/>
      <c r="G37" s="114"/>
      <c r="H37" s="114"/>
      <c r="I37" s="146"/>
      <c r="J37" s="114"/>
      <c r="K37" s="114"/>
      <c r="L37" s="114"/>
      <c r="M37" s="220"/>
      <c r="N37" s="72"/>
      <c r="O37" s="75"/>
      <c r="P37" s="391"/>
      <c r="Q37" s="391"/>
      <c r="R37" s="391"/>
      <c r="S37" s="391"/>
      <c r="T37" s="391"/>
      <c r="U37" s="391"/>
      <c r="V37" s="391"/>
      <c r="W37" s="391"/>
      <c r="X37" s="391"/>
      <c r="Y37" s="391"/>
      <c r="Z37" s="141"/>
      <c r="AA37" s="135" t="s">
        <v>214</v>
      </c>
      <c r="AB37" s="110"/>
      <c r="AC37" s="80"/>
      <c r="AD37" s="72"/>
      <c r="AE37" s="72"/>
      <c r="AF37" s="80"/>
      <c r="AG37" s="110"/>
      <c r="AH37" s="110"/>
      <c r="AI37" s="109"/>
      <c r="AJ37" s="98">
        <f>SUM(AJ13:AJ24,AJ27:AJ29,AJ32:AJ34)</f>
        <v>0</v>
      </c>
      <c r="AK37" s="136"/>
      <c r="AL37" s="72"/>
      <c r="AM37" s="161"/>
      <c r="AN37" s="391"/>
      <c r="AO37" s="391"/>
      <c r="AP37" s="391"/>
      <c r="AQ37" s="391"/>
      <c r="AR37" s="391"/>
      <c r="AS37" s="391"/>
      <c r="AT37" s="391"/>
      <c r="AU37" s="391"/>
      <c r="AV37" s="392"/>
      <c r="AW37" s="182"/>
      <c r="BK37" s="121"/>
    </row>
    <row r="38" spans="1:63" ht="15.75" customHeight="1" x14ac:dyDescent="0.3">
      <c r="A38" s="181"/>
      <c r="B38" s="114" t="s">
        <v>252</v>
      </c>
      <c r="C38" s="114"/>
      <c r="D38" s="145">
        <f>SUM(D33:D36)</f>
        <v>0</v>
      </c>
      <c r="E38" s="114" t="s">
        <v>300</v>
      </c>
      <c r="F38" s="114"/>
      <c r="G38" s="146"/>
      <c r="H38" s="72"/>
      <c r="I38" s="114" t="s">
        <v>252</v>
      </c>
      <c r="J38" s="114"/>
      <c r="K38" s="145">
        <f>SUM(K33:K36)</f>
        <v>0</v>
      </c>
      <c r="L38" s="114" t="s">
        <v>300</v>
      </c>
      <c r="M38" s="220"/>
      <c r="N38" s="72"/>
      <c r="O38" s="75"/>
      <c r="P38" s="96"/>
      <c r="Q38" s="96"/>
      <c r="R38" s="96"/>
      <c r="S38" s="96"/>
      <c r="T38" s="96"/>
      <c r="U38" s="96"/>
      <c r="V38" s="96"/>
      <c r="W38" s="96"/>
      <c r="X38" s="96"/>
      <c r="Y38" s="96"/>
      <c r="Z38" s="141"/>
      <c r="AA38" s="135" t="s">
        <v>213</v>
      </c>
      <c r="AB38" s="110"/>
      <c r="AC38" s="80"/>
      <c r="AD38" s="72"/>
      <c r="AE38" s="72"/>
      <c r="AF38" s="80"/>
      <c r="AG38" s="110"/>
      <c r="AH38" s="110"/>
      <c r="AI38" s="109"/>
      <c r="AJ38" s="103">
        <f ca="1">IF(AK6="High Demand (e.g. Non-Residential)",FORECAST(AJ37,OFFSET('AWWA Curves'!F62:F103,MATCH(AJ37,'AWWA Curves'!B62:B103,1)-1,0,2),
OFFSET('AWWA Curves'!B62:B103,MATCH(AJ37,'AWWA Curves'!B62:B103,1)-1,0,2)),IF(AK6="Low Demand (e.g. Multi-Family Residential)",FORECAST(AJ37,OFFSET('AWWA Curves'!D62:D103,MATCH(AJ37,'AWWA Curves'!B62:B103,1)-1,0,2),
OFFSET('AWWA Curves'!B62:B103,MATCH(AJ37,'AWWA Curves'!B62:B103,1)-1,0,2))))</f>
        <v>0</v>
      </c>
      <c r="AK38" s="136" t="s">
        <v>65</v>
      </c>
      <c r="AL38" s="72"/>
      <c r="AM38" s="75"/>
      <c r="AN38" s="72"/>
      <c r="AO38" s="96"/>
      <c r="AP38" s="96"/>
      <c r="AQ38" s="96"/>
      <c r="AR38" s="96"/>
      <c r="AS38" s="96"/>
      <c r="AT38" s="96"/>
      <c r="AU38" s="96"/>
      <c r="AV38" s="366"/>
      <c r="AW38" s="182"/>
      <c r="BK38" s="121"/>
    </row>
    <row r="39" spans="1:63" x14ac:dyDescent="0.3">
      <c r="A39" s="181"/>
      <c r="B39" s="72"/>
      <c r="C39" s="72"/>
      <c r="D39" s="72"/>
      <c r="E39" s="72"/>
      <c r="F39" s="114"/>
      <c r="G39" s="114"/>
      <c r="H39" s="72"/>
      <c r="I39" s="72"/>
      <c r="J39" s="72"/>
      <c r="K39" s="72"/>
      <c r="L39" s="72"/>
      <c r="M39" s="220"/>
      <c r="N39" s="72"/>
      <c r="O39" s="75"/>
      <c r="P39" s="391" t="s">
        <v>69</v>
      </c>
      <c r="Q39" s="391"/>
      <c r="R39" s="391"/>
      <c r="S39" s="391"/>
      <c r="T39" s="391"/>
      <c r="U39" s="391"/>
      <c r="V39" s="391"/>
      <c r="W39" s="391"/>
      <c r="X39" s="391"/>
      <c r="Y39" s="391"/>
      <c r="Z39" s="141"/>
      <c r="AA39" s="135" t="s">
        <v>212</v>
      </c>
      <c r="AB39" s="110"/>
      <c r="AC39" s="80"/>
      <c r="AD39" s="72"/>
      <c r="AE39" s="72"/>
      <c r="AF39" s="80"/>
      <c r="AG39" s="110"/>
      <c r="AH39" s="110"/>
      <c r="AI39" s="109"/>
      <c r="AJ39" s="98">
        <f>VLOOKUP(AJ8,'AWWA Meter Selection'!C6:J13,8,FALSE)</f>
        <v>1</v>
      </c>
      <c r="AK39" s="136"/>
      <c r="AL39" s="72"/>
      <c r="AM39" s="161">
        <v>8</v>
      </c>
      <c r="AN39" s="391" t="s">
        <v>338</v>
      </c>
      <c r="AO39" s="391"/>
      <c r="AP39" s="391"/>
      <c r="AQ39" s="391"/>
      <c r="AR39" s="391"/>
      <c r="AS39" s="391"/>
      <c r="AT39" s="391"/>
      <c r="AU39" s="391"/>
      <c r="AV39" s="392"/>
      <c r="AW39" s="182"/>
      <c r="BK39" s="121"/>
    </row>
    <row r="40" spans="1:63" x14ac:dyDescent="0.3">
      <c r="A40" s="181"/>
      <c r="B40" s="114"/>
      <c r="C40" s="114"/>
      <c r="D40" s="146"/>
      <c r="E40" s="146"/>
      <c r="F40" s="146"/>
      <c r="G40" s="114"/>
      <c r="H40" s="114"/>
      <c r="I40" s="114"/>
      <c r="J40" s="114"/>
      <c r="K40" s="114"/>
      <c r="L40" s="114"/>
      <c r="M40" s="220"/>
      <c r="N40" s="72"/>
      <c r="O40" s="75"/>
      <c r="P40" s="391"/>
      <c r="Q40" s="391"/>
      <c r="R40" s="391"/>
      <c r="S40" s="391"/>
      <c r="T40" s="391"/>
      <c r="U40" s="391"/>
      <c r="V40" s="391"/>
      <c r="W40" s="391"/>
      <c r="X40" s="391"/>
      <c r="Y40" s="391"/>
      <c r="Z40" s="141"/>
      <c r="AA40" s="135" t="s">
        <v>322</v>
      </c>
      <c r="AB40" s="110"/>
      <c r="AC40" s="80"/>
      <c r="AD40" s="72"/>
      <c r="AE40" s="72"/>
      <c r="AF40" s="80"/>
      <c r="AG40" s="110"/>
      <c r="AH40" s="110"/>
      <c r="AI40" s="109"/>
      <c r="AJ40" s="104">
        <f ca="1">AJ38*AJ39</f>
        <v>0</v>
      </c>
      <c r="AK40" s="136" t="s">
        <v>65</v>
      </c>
      <c r="AL40" s="72"/>
      <c r="AM40" s="161"/>
      <c r="AN40" s="391"/>
      <c r="AO40" s="391"/>
      <c r="AP40" s="391"/>
      <c r="AQ40" s="391"/>
      <c r="AR40" s="391"/>
      <c r="AS40" s="391"/>
      <c r="AT40" s="391"/>
      <c r="AU40" s="391"/>
      <c r="AV40" s="392"/>
      <c r="AW40" s="182"/>
      <c r="BK40" s="121"/>
    </row>
    <row r="41" spans="1:63" ht="15.75" customHeight="1" x14ac:dyDescent="0.3">
      <c r="A41" s="181"/>
      <c r="B41" s="114" t="s">
        <v>253</v>
      </c>
      <c r="C41" s="114"/>
      <c r="D41" s="114"/>
      <c r="E41" s="114"/>
      <c r="F41" s="114"/>
      <c r="G41" s="114"/>
      <c r="H41" s="114"/>
      <c r="I41" s="114"/>
      <c r="J41" s="114"/>
      <c r="K41" s="145">
        <v>0</v>
      </c>
      <c r="L41" s="114" t="s">
        <v>89</v>
      </c>
      <c r="M41" s="220"/>
      <c r="N41" s="72"/>
      <c r="O41" s="75"/>
      <c r="P41" s="72"/>
      <c r="Q41" s="72"/>
      <c r="R41" s="72"/>
      <c r="S41" s="72"/>
      <c r="T41" s="80"/>
      <c r="U41" s="80"/>
      <c r="V41" s="80"/>
      <c r="W41" s="72"/>
      <c r="X41" s="72"/>
      <c r="Y41" s="72"/>
      <c r="Z41" s="141"/>
      <c r="AA41" s="137" t="s">
        <v>323</v>
      </c>
      <c r="AB41" s="110"/>
      <c r="AC41" s="80"/>
      <c r="AD41" s="80"/>
      <c r="AE41" s="110"/>
      <c r="AF41" s="110"/>
      <c r="AG41" s="109"/>
      <c r="AH41" s="110"/>
      <c r="AI41" s="72"/>
      <c r="AJ41" s="98">
        <v>0</v>
      </c>
      <c r="AK41" s="136" t="s">
        <v>65</v>
      </c>
      <c r="AL41" s="72"/>
      <c r="AM41" s="161"/>
      <c r="AN41" s="391"/>
      <c r="AO41" s="391"/>
      <c r="AP41" s="391"/>
      <c r="AQ41" s="391"/>
      <c r="AR41" s="391"/>
      <c r="AS41" s="391"/>
      <c r="AT41" s="391"/>
      <c r="AU41" s="391"/>
      <c r="AV41" s="392"/>
      <c r="AW41" s="182"/>
      <c r="BK41" s="121"/>
    </row>
    <row r="42" spans="1:63" ht="15.75" customHeight="1" x14ac:dyDescent="0.3">
      <c r="A42" s="181"/>
      <c r="B42" s="114" t="s">
        <v>254</v>
      </c>
      <c r="C42" s="114"/>
      <c r="D42" s="114"/>
      <c r="E42" s="114"/>
      <c r="F42" s="114"/>
      <c r="G42" s="114"/>
      <c r="H42" s="114"/>
      <c r="I42" s="114"/>
      <c r="J42" s="114"/>
      <c r="K42" s="145">
        <v>0</v>
      </c>
      <c r="L42" s="114" t="s">
        <v>89</v>
      </c>
      <c r="M42" s="220"/>
      <c r="N42" s="72"/>
      <c r="O42" s="75"/>
      <c r="P42" s="509" t="s">
        <v>11</v>
      </c>
      <c r="Q42" s="509" t="s">
        <v>345</v>
      </c>
      <c r="R42" s="509" t="s">
        <v>70</v>
      </c>
      <c r="S42" s="509" t="s">
        <v>71</v>
      </c>
      <c r="T42" s="509" t="s">
        <v>22</v>
      </c>
      <c r="U42" s="509" t="s">
        <v>72</v>
      </c>
      <c r="V42" s="509" t="s">
        <v>260</v>
      </c>
      <c r="W42" s="509" t="s">
        <v>23</v>
      </c>
      <c r="X42" s="72"/>
      <c r="Y42" s="72"/>
      <c r="Z42" s="141"/>
      <c r="AA42" s="137" t="s">
        <v>324</v>
      </c>
      <c r="AB42" s="110"/>
      <c r="AC42" s="80"/>
      <c r="AD42" s="80"/>
      <c r="AE42" s="110"/>
      <c r="AF42" s="110"/>
      <c r="AG42" s="109"/>
      <c r="AH42" s="110"/>
      <c r="AI42" s="72"/>
      <c r="AJ42" s="98">
        <v>0</v>
      </c>
      <c r="AK42" s="136" t="s">
        <v>65</v>
      </c>
      <c r="AL42" s="72"/>
      <c r="AM42" s="75"/>
      <c r="AN42" s="72"/>
      <c r="AO42" s="96"/>
      <c r="AP42" s="96"/>
      <c r="AQ42" s="96"/>
      <c r="AR42" s="96"/>
      <c r="AS42" s="96"/>
      <c r="AT42" s="96"/>
      <c r="AU42" s="96"/>
      <c r="AV42" s="366"/>
      <c r="AW42" s="182"/>
      <c r="BK42" s="121"/>
    </row>
    <row r="43" spans="1:63" ht="17.25" customHeight="1" x14ac:dyDescent="0.3">
      <c r="A43" s="181"/>
      <c r="B43" s="114" t="s">
        <v>255</v>
      </c>
      <c r="C43" s="114"/>
      <c r="D43" s="114"/>
      <c r="E43" s="114"/>
      <c r="F43" s="114"/>
      <c r="G43" s="114"/>
      <c r="H43" s="114"/>
      <c r="I43" s="114"/>
      <c r="J43" s="114"/>
      <c r="K43" s="208">
        <v>0</v>
      </c>
      <c r="L43" s="114" t="s">
        <v>89</v>
      </c>
      <c r="M43" s="220"/>
      <c r="N43" s="72"/>
      <c r="O43" s="75"/>
      <c r="P43" s="510"/>
      <c r="Q43" s="510"/>
      <c r="R43" s="510"/>
      <c r="S43" s="510"/>
      <c r="T43" s="510"/>
      <c r="U43" s="510"/>
      <c r="V43" s="510"/>
      <c r="W43" s="510"/>
      <c r="X43" s="72"/>
      <c r="Y43" s="72"/>
      <c r="Z43" s="141"/>
      <c r="AA43" s="110" t="s">
        <v>211</v>
      </c>
      <c r="AB43" s="110"/>
      <c r="AC43" s="80"/>
      <c r="AD43" s="80"/>
      <c r="AE43" s="110"/>
      <c r="AF43" s="110"/>
      <c r="AG43" s="109"/>
      <c r="AH43" s="72"/>
      <c r="AI43" s="72"/>
      <c r="AJ43" s="104">
        <f ca="1">AJ40+AJ41+AJ42</f>
        <v>0</v>
      </c>
      <c r="AK43" s="136" t="s">
        <v>65</v>
      </c>
      <c r="AL43" s="72"/>
      <c r="AM43" s="81">
        <v>9</v>
      </c>
      <c r="AN43" s="391" t="s">
        <v>472</v>
      </c>
      <c r="AO43" s="391"/>
      <c r="AP43" s="391"/>
      <c r="AQ43" s="391"/>
      <c r="AR43" s="391"/>
      <c r="AS43" s="391"/>
      <c r="AT43" s="391"/>
      <c r="AU43" s="391"/>
      <c r="AV43" s="392"/>
      <c r="AW43" s="182"/>
      <c r="BK43" s="108"/>
    </row>
    <row r="44" spans="1:63" x14ac:dyDescent="0.3">
      <c r="A44" s="181"/>
      <c r="B44" s="114"/>
      <c r="C44" s="114"/>
      <c r="D44" s="114"/>
      <c r="E44" s="114"/>
      <c r="F44" s="114"/>
      <c r="G44" s="114"/>
      <c r="H44" s="114"/>
      <c r="I44" s="114"/>
      <c r="J44" s="114"/>
      <c r="K44" s="114"/>
      <c r="L44" s="114"/>
      <c r="M44" s="220"/>
      <c r="N44" s="72"/>
      <c r="O44" s="75"/>
      <c r="P44" s="510"/>
      <c r="Q44" s="510"/>
      <c r="R44" s="510"/>
      <c r="S44" s="510"/>
      <c r="T44" s="510"/>
      <c r="U44" s="510"/>
      <c r="V44" s="510"/>
      <c r="W44" s="510"/>
      <c r="X44" s="72"/>
      <c r="Y44" s="72"/>
      <c r="Z44" s="141"/>
      <c r="AA44" s="135"/>
      <c r="AB44" s="110"/>
      <c r="AC44" s="80"/>
      <c r="AD44" s="80"/>
      <c r="AE44" s="110"/>
      <c r="AF44" s="110"/>
      <c r="AG44" s="109"/>
      <c r="AH44" s="110"/>
      <c r="AI44" s="109"/>
      <c r="AJ44" s="110"/>
      <c r="AK44" s="128"/>
      <c r="AL44" s="72"/>
      <c r="AM44" s="161"/>
      <c r="AN44" s="391"/>
      <c r="AO44" s="391"/>
      <c r="AP44" s="391"/>
      <c r="AQ44" s="391"/>
      <c r="AR44" s="391"/>
      <c r="AS44" s="391"/>
      <c r="AT44" s="391"/>
      <c r="AU44" s="391"/>
      <c r="AV44" s="392"/>
      <c r="AW44" s="182"/>
      <c r="BK44" s="108"/>
    </row>
    <row r="45" spans="1:63" x14ac:dyDescent="0.3">
      <c r="A45" s="181"/>
      <c r="B45" s="114" t="s">
        <v>115</v>
      </c>
      <c r="C45" s="114"/>
      <c r="D45" s="114"/>
      <c r="E45" s="114"/>
      <c r="F45" s="114"/>
      <c r="G45" s="114"/>
      <c r="H45" s="114"/>
      <c r="I45" s="114"/>
      <c r="J45" s="114"/>
      <c r="K45" s="145">
        <v>0</v>
      </c>
      <c r="L45" s="114" t="s">
        <v>89</v>
      </c>
      <c r="M45" s="220"/>
      <c r="N45" s="72"/>
      <c r="O45" s="75"/>
      <c r="P45" s="13"/>
      <c r="Q45" s="13"/>
      <c r="R45" s="13" t="str">
        <f>$L$10</f>
        <v/>
      </c>
      <c r="S45" s="13" t="str">
        <f>$L$11</f>
        <v/>
      </c>
      <c r="T45" s="14" t="str">
        <f>IF(Q45&gt;0,((R45-Q45)*0.43346),IF(Q45=0," "))</f>
        <v xml:space="preserve"> </v>
      </c>
      <c r="U45" s="14" t="str">
        <f>IF(Q45&gt;0,((S45-Q45)*0.43346),IF(Q45=0," "))</f>
        <v xml:space="preserve"> </v>
      </c>
      <c r="V45" s="16" t="str">
        <f>IF(U45&lt;40,"YES","-")</f>
        <v>-</v>
      </c>
      <c r="W45" s="16" t="str">
        <f>IF(AND(Q45&gt;0,T45&gt;80),"YES","-")</f>
        <v>-</v>
      </c>
      <c r="X45" s="72"/>
      <c r="Y45" s="72"/>
      <c r="Z45" s="141"/>
      <c r="AA45" s="135" t="s">
        <v>210</v>
      </c>
      <c r="AB45" s="110"/>
      <c r="AC45" s="80"/>
      <c r="AD45" s="80"/>
      <c r="AE45" s="110"/>
      <c r="AF45" s="110"/>
      <c r="AG45" s="98"/>
      <c r="AH45" s="71"/>
      <c r="AI45" s="77"/>
      <c r="AJ45" s="97" t="str">
        <f ca="1">IF(AND(AJ43&gt;'AWWA Curves'!Q126,AJ43&lt;='AWWA Curves'!R126),"5/8-Inch Positive Displacement Meter",IF(AND(AJ43&gt;'AWWA Curves'!Q127,AJ43&lt;='AWWA Curves'!R127),"1-Inch Positive Displacement Meter",IF(AND(AJ43&gt;'AWWA Curves'!Q128,AJ43&lt;='AWWA Curves'!R128),"1.5-Inch Positive Displacement Meter",IF(AND(AJ43&gt;'AWWA Curves'!Q129,AJ43&lt;='AWWA Curves'!R129),"2-Inch Positive Displacement Meter",IF(AND(AJ43&gt;'AWWA Curves'!Q130,AJ43&lt;='AWWA Curves'!R130),"3-Inch Compund Meter",IF(AJ37=0,""))))))</f>
        <v/>
      </c>
      <c r="AK45" s="128"/>
      <c r="AL45" s="72"/>
      <c r="AM45" s="161"/>
      <c r="AN45" s="391"/>
      <c r="AO45" s="391"/>
      <c r="AP45" s="391"/>
      <c r="AQ45" s="391"/>
      <c r="AR45" s="391"/>
      <c r="AS45" s="391"/>
      <c r="AT45" s="391"/>
      <c r="AU45" s="391"/>
      <c r="AV45" s="392"/>
      <c r="AW45" s="182"/>
      <c r="BK45" s="108"/>
    </row>
    <row r="46" spans="1:63" x14ac:dyDescent="0.3">
      <c r="A46" s="181"/>
      <c r="B46" s="114" t="s">
        <v>114</v>
      </c>
      <c r="C46" s="114"/>
      <c r="D46" s="114"/>
      <c r="E46" s="114"/>
      <c r="F46" s="114"/>
      <c r="G46" s="114"/>
      <c r="H46" s="114"/>
      <c r="I46" s="114"/>
      <c r="J46" s="114"/>
      <c r="K46" s="145">
        <v>0</v>
      </c>
      <c r="L46" s="114" t="s">
        <v>89</v>
      </c>
      <c r="M46" s="223"/>
      <c r="N46" s="72"/>
      <c r="O46" s="75"/>
      <c r="P46" s="13"/>
      <c r="Q46" s="13"/>
      <c r="R46" s="13" t="str">
        <f>$L$10</f>
        <v/>
      </c>
      <c r="S46" s="13" t="str">
        <f>$L$11</f>
        <v/>
      </c>
      <c r="T46" s="14" t="str">
        <f>IF(Q46&gt;0,((R46-Q46)*0.43346),IF(Q46=0," "))</f>
        <v xml:space="preserve"> </v>
      </c>
      <c r="U46" s="14" t="str">
        <f>IF(Q46&gt;0,((S46-Q46)*0.43346),IF(Q46=0," "))</f>
        <v xml:space="preserve"> </v>
      </c>
      <c r="V46" s="16" t="str">
        <f>IF(U46&lt;40,"YES","-")</f>
        <v>-</v>
      </c>
      <c r="W46" s="16" t="str">
        <f>IF(AND(Q46&gt;0,T46&gt;80),"YES","-")</f>
        <v>-</v>
      </c>
      <c r="X46" s="72"/>
      <c r="Y46" s="72"/>
      <c r="Z46" s="141"/>
      <c r="AA46" s="135"/>
      <c r="AB46" s="110"/>
      <c r="AC46" s="80"/>
      <c r="AD46" s="80"/>
      <c r="AE46" s="110"/>
      <c r="AF46" s="110"/>
      <c r="AG46" s="109"/>
      <c r="AH46" s="110"/>
      <c r="AI46" s="72"/>
      <c r="AJ46" s="109"/>
      <c r="AK46" s="136"/>
      <c r="AL46" s="72"/>
      <c r="AM46" s="162"/>
      <c r="AN46" s="391"/>
      <c r="AO46" s="391"/>
      <c r="AP46" s="391"/>
      <c r="AQ46" s="391"/>
      <c r="AR46" s="391"/>
      <c r="AS46" s="391"/>
      <c r="AT46" s="391"/>
      <c r="AU46" s="391"/>
      <c r="AV46" s="392"/>
      <c r="AW46" s="182"/>
      <c r="BK46" s="108"/>
    </row>
    <row r="47" spans="1:63" x14ac:dyDescent="0.3">
      <c r="A47" s="181"/>
      <c r="B47" s="114" t="s">
        <v>328</v>
      </c>
      <c r="C47" s="114"/>
      <c r="D47" s="114"/>
      <c r="E47" s="114"/>
      <c r="F47" s="114"/>
      <c r="G47" s="114"/>
      <c r="H47" s="114"/>
      <c r="I47" s="114"/>
      <c r="J47" s="114"/>
      <c r="K47" s="145">
        <v>0</v>
      </c>
      <c r="L47" s="114" t="s">
        <v>89</v>
      </c>
      <c r="M47" s="223"/>
      <c r="N47" s="72"/>
      <c r="O47" s="115"/>
      <c r="P47" s="71"/>
      <c r="Q47" s="71"/>
      <c r="R47" s="71"/>
      <c r="S47" s="71"/>
      <c r="T47" s="71"/>
      <c r="U47" s="71"/>
      <c r="V47" s="71"/>
      <c r="W47" s="71"/>
      <c r="X47" s="71"/>
      <c r="Y47" s="71"/>
      <c r="Z47" s="142"/>
      <c r="AA47" s="71"/>
      <c r="AB47" s="71"/>
      <c r="AC47" s="71"/>
      <c r="AD47" s="71"/>
      <c r="AE47" s="71"/>
      <c r="AF47" s="71"/>
      <c r="AG47" s="71"/>
      <c r="AH47" s="71"/>
      <c r="AI47" s="71"/>
      <c r="AJ47" s="71"/>
      <c r="AK47" s="88"/>
      <c r="AL47" s="72"/>
      <c r="AM47" s="75"/>
      <c r="AN47" s="391"/>
      <c r="AO47" s="391"/>
      <c r="AP47" s="391"/>
      <c r="AQ47" s="391"/>
      <c r="AR47" s="391"/>
      <c r="AS47" s="391"/>
      <c r="AT47" s="391"/>
      <c r="AU47" s="391"/>
      <c r="AV47" s="392"/>
      <c r="AW47" s="182"/>
      <c r="BK47" s="108"/>
    </row>
    <row r="48" spans="1:63" x14ac:dyDescent="0.3">
      <c r="A48" s="181"/>
      <c r="B48" s="114" t="s">
        <v>116</v>
      </c>
      <c r="C48" s="114"/>
      <c r="D48" s="137" t="s">
        <v>117</v>
      </c>
      <c r="E48" s="114" t="s">
        <v>120</v>
      </c>
      <c r="F48" s="114"/>
      <c r="G48" s="114"/>
      <c r="H48" s="114"/>
      <c r="I48" s="114"/>
      <c r="J48" s="114"/>
      <c r="K48" s="145">
        <v>0</v>
      </c>
      <c r="L48" s="114" t="s">
        <v>89</v>
      </c>
      <c r="M48" s="223"/>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162"/>
      <c r="AN48" s="391"/>
      <c r="AO48" s="391"/>
      <c r="AP48" s="391"/>
      <c r="AQ48" s="391"/>
      <c r="AR48" s="391"/>
      <c r="AS48" s="391"/>
      <c r="AT48" s="391"/>
      <c r="AU48" s="391"/>
      <c r="AV48" s="392"/>
      <c r="AW48" s="182"/>
      <c r="BK48" s="72"/>
    </row>
    <row r="49" spans="1:49" ht="15.75" customHeight="1" x14ac:dyDescent="0.3">
      <c r="A49" s="181"/>
      <c r="B49" s="72"/>
      <c r="C49" s="72"/>
      <c r="D49" s="72"/>
      <c r="E49" s="72"/>
      <c r="F49" s="72"/>
      <c r="G49" s="72"/>
      <c r="H49" s="72"/>
      <c r="I49" s="72"/>
      <c r="J49" s="72"/>
      <c r="K49" s="72"/>
      <c r="L49" s="72"/>
      <c r="M49" s="223"/>
      <c r="N49" s="72"/>
      <c r="O49" s="72"/>
      <c r="P49" s="72"/>
      <c r="Q49" s="72"/>
      <c r="R49" s="72"/>
      <c r="S49" s="72"/>
      <c r="T49" s="72"/>
      <c r="U49" s="72"/>
      <c r="V49" s="72"/>
      <c r="W49" s="72"/>
      <c r="X49" s="72"/>
      <c r="Y49" s="72"/>
      <c r="Z49" s="72"/>
      <c r="AA49" s="137"/>
      <c r="AB49" s="110"/>
      <c r="AC49" s="80"/>
      <c r="AD49" s="80"/>
      <c r="AE49" s="110"/>
      <c r="AF49" s="110"/>
      <c r="AG49" s="109"/>
      <c r="AH49" s="110"/>
      <c r="AI49" s="109"/>
      <c r="AJ49" s="110"/>
      <c r="AK49" s="35"/>
      <c r="AL49" s="72"/>
      <c r="AM49" s="162"/>
      <c r="AN49" s="391"/>
      <c r="AO49" s="391"/>
      <c r="AP49" s="391"/>
      <c r="AQ49" s="391"/>
      <c r="AR49" s="391"/>
      <c r="AS49" s="391"/>
      <c r="AT49" s="391"/>
      <c r="AU49" s="391"/>
      <c r="AV49" s="392"/>
      <c r="AW49" s="182"/>
    </row>
    <row r="50" spans="1:49" ht="15.75" customHeight="1" x14ac:dyDescent="0.3">
      <c r="A50" s="237"/>
      <c r="B50" s="152"/>
      <c r="C50" s="152"/>
      <c r="D50" s="153"/>
      <c r="E50" s="216" t="s">
        <v>330</v>
      </c>
      <c r="F50" s="154"/>
      <c r="G50" s="152"/>
      <c r="H50" s="155"/>
      <c r="I50" s="155"/>
      <c r="J50" s="156"/>
      <c r="K50" s="152"/>
      <c r="L50" s="152"/>
      <c r="M50" s="223"/>
      <c r="N50" s="72"/>
      <c r="O50" s="160" t="s">
        <v>296</v>
      </c>
      <c r="P50" s="111"/>
      <c r="Q50" s="112"/>
      <c r="R50" s="111"/>
      <c r="S50" s="112"/>
      <c r="T50" s="111"/>
      <c r="U50" s="111"/>
      <c r="V50" s="111"/>
      <c r="W50" s="113"/>
      <c r="X50" s="113"/>
      <c r="Y50" s="245" t="s">
        <v>297</v>
      </c>
      <c r="Z50" s="112"/>
      <c r="AA50" s="112"/>
      <c r="AB50" s="112"/>
      <c r="AC50" s="112"/>
      <c r="AD50" s="112"/>
      <c r="AE50" s="112"/>
      <c r="AF50" s="112"/>
      <c r="AG50" s="112"/>
      <c r="AH50" s="112"/>
      <c r="AI50" s="112"/>
      <c r="AJ50" s="112"/>
      <c r="AK50" s="163"/>
      <c r="AL50" s="72"/>
      <c r="AM50" s="75"/>
      <c r="AN50" s="391"/>
      <c r="AO50" s="391"/>
      <c r="AP50" s="391"/>
      <c r="AQ50" s="391"/>
      <c r="AR50" s="391"/>
      <c r="AS50" s="391"/>
      <c r="AT50" s="391"/>
      <c r="AU50" s="391"/>
      <c r="AV50" s="392"/>
      <c r="AW50" s="182"/>
    </row>
    <row r="51" spans="1:49" ht="15.75" customHeight="1" x14ac:dyDescent="0.3">
      <c r="A51" s="181"/>
      <c r="B51" s="80"/>
      <c r="C51" s="80"/>
      <c r="D51" s="80"/>
      <c r="E51" s="80"/>
      <c r="F51" s="80"/>
      <c r="G51" s="80"/>
      <c r="H51" s="80"/>
      <c r="I51" s="80"/>
      <c r="J51" s="80"/>
      <c r="K51" s="80"/>
      <c r="L51" s="72"/>
      <c r="M51" s="220"/>
      <c r="N51" s="72"/>
      <c r="O51" s="115"/>
      <c r="P51" s="71"/>
      <c r="Q51" s="71"/>
      <c r="R51" s="71"/>
      <c r="S51" s="71"/>
      <c r="T51" s="71"/>
      <c r="U51" s="71"/>
      <c r="V51" s="71"/>
      <c r="W51" s="71"/>
      <c r="X51" s="71"/>
      <c r="Y51" s="71"/>
      <c r="Z51" s="71"/>
      <c r="AA51" s="71"/>
      <c r="AB51" s="71"/>
      <c r="AC51" s="71"/>
      <c r="AD51" s="71"/>
      <c r="AE51" s="71"/>
      <c r="AF51" s="71"/>
      <c r="AG51" s="71"/>
      <c r="AH51" s="71"/>
      <c r="AI51" s="71"/>
      <c r="AJ51" s="71"/>
      <c r="AK51" s="88"/>
      <c r="AL51" s="72"/>
      <c r="AM51" s="75"/>
      <c r="AN51" s="72"/>
      <c r="AO51" s="96"/>
      <c r="AP51" s="96"/>
      <c r="AQ51" s="96"/>
      <c r="AR51" s="96"/>
      <c r="AS51" s="96"/>
      <c r="AT51" s="96"/>
      <c r="AU51" s="96"/>
      <c r="AV51" s="366"/>
      <c r="AW51" s="249"/>
    </row>
    <row r="52" spans="1:49" ht="15.75" customHeight="1" x14ac:dyDescent="0.6">
      <c r="A52" s="205"/>
      <c r="B52" s="203"/>
      <c r="C52" s="429" t="s">
        <v>310</v>
      </c>
      <c r="D52" s="429"/>
      <c r="E52" s="429"/>
      <c r="F52" s="429"/>
      <c r="G52" s="473" t="s">
        <v>124</v>
      </c>
      <c r="H52" s="474"/>
      <c r="I52" s="473" t="s">
        <v>352</v>
      </c>
      <c r="J52" s="474"/>
      <c r="K52" s="473" t="s">
        <v>125</v>
      </c>
      <c r="L52" s="521"/>
      <c r="M52" s="223"/>
      <c r="N52" s="72"/>
      <c r="O52" s="151"/>
      <c r="P52" s="167"/>
      <c r="Q52" s="168"/>
      <c r="R52" s="168"/>
      <c r="S52" s="168"/>
      <c r="T52" s="477" t="s">
        <v>303</v>
      </c>
      <c r="U52" s="477"/>
      <c r="V52" s="477"/>
      <c r="W52" s="477"/>
      <c r="X52" s="477"/>
      <c r="Y52" s="477"/>
      <c r="Z52" s="477"/>
      <c r="AA52" s="477"/>
      <c r="AB52" s="279"/>
      <c r="AC52" s="279"/>
      <c r="AD52" s="168"/>
      <c r="AE52" s="168"/>
      <c r="AF52" s="168"/>
      <c r="AG52" s="168"/>
      <c r="AH52" s="168"/>
      <c r="AI52" s="167"/>
      <c r="AJ52" s="167"/>
      <c r="AK52" s="89"/>
      <c r="AL52" s="72"/>
      <c r="AM52" s="382">
        <v>10</v>
      </c>
      <c r="AN52" s="391" t="s">
        <v>473</v>
      </c>
      <c r="AO52" s="391"/>
      <c r="AP52" s="391"/>
      <c r="AQ52" s="391"/>
      <c r="AR52" s="391"/>
      <c r="AS52" s="391"/>
      <c r="AT52" s="391"/>
      <c r="AU52" s="391"/>
      <c r="AV52" s="392"/>
      <c r="AW52" s="249"/>
    </row>
    <row r="53" spans="1:49" ht="15.75" customHeight="1" x14ac:dyDescent="0.6">
      <c r="A53" s="181"/>
      <c r="B53" s="114"/>
      <c r="C53" s="430"/>
      <c r="D53" s="430"/>
      <c r="E53" s="430"/>
      <c r="F53" s="430"/>
      <c r="G53" s="475"/>
      <c r="H53" s="476"/>
      <c r="I53" s="475"/>
      <c r="J53" s="476"/>
      <c r="K53" s="475"/>
      <c r="L53" s="522"/>
      <c r="M53" s="223"/>
      <c r="N53" s="72"/>
      <c r="O53" s="172"/>
      <c r="P53" s="120"/>
      <c r="Q53" s="171"/>
      <c r="R53" s="171"/>
      <c r="S53" s="171"/>
      <c r="T53" s="478"/>
      <c r="U53" s="478"/>
      <c r="V53" s="478"/>
      <c r="W53" s="478"/>
      <c r="X53" s="478"/>
      <c r="Y53" s="478"/>
      <c r="Z53" s="478"/>
      <c r="AA53" s="478"/>
      <c r="AB53" s="280"/>
      <c r="AC53" s="280"/>
      <c r="AD53" s="171"/>
      <c r="AE53" s="171"/>
      <c r="AF53" s="171"/>
      <c r="AG53" s="171"/>
      <c r="AH53" s="171"/>
      <c r="AI53" s="120"/>
      <c r="AJ53" s="120"/>
      <c r="AK53" s="173"/>
      <c r="AL53" s="72"/>
      <c r="AM53" s="75"/>
      <c r="AN53" s="391"/>
      <c r="AO53" s="391"/>
      <c r="AP53" s="391"/>
      <c r="AQ53" s="391"/>
      <c r="AR53" s="391"/>
      <c r="AS53" s="391"/>
      <c r="AT53" s="391"/>
      <c r="AU53" s="391"/>
      <c r="AV53" s="392"/>
      <c r="AW53" s="249"/>
    </row>
    <row r="54" spans="1:49" ht="15.75" customHeight="1" x14ac:dyDescent="0.3">
      <c r="A54" s="181"/>
      <c r="B54" s="114"/>
      <c r="C54" s="430"/>
      <c r="D54" s="430"/>
      <c r="E54" s="430"/>
      <c r="F54" s="430"/>
      <c r="G54" s="475"/>
      <c r="H54" s="476"/>
      <c r="I54" s="475"/>
      <c r="J54" s="476"/>
      <c r="K54" s="475"/>
      <c r="L54" s="522"/>
      <c r="M54" s="224"/>
      <c r="N54" s="72"/>
      <c r="O54" s="438" t="s">
        <v>174</v>
      </c>
      <c r="P54" s="439"/>
      <c r="Q54" s="438" t="s">
        <v>173</v>
      </c>
      <c r="R54" s="465"/>
      <c r="S54" s="439"/>
      <c r="T54" s="456" t="s">
        <v>172</v>
      </c>
      <c r="U54" s="457"/>
      <c r="V54" s="458"/>
      <c r="W54" s="438" t="s">
        <v>171</v>
      </c>
      <c r="X54" s="439"/>
      <c r="Y54" s="438" t="s">
        <v>304</v>
      </c>
      <c r="Z54" s="439"/>
      <c r="AA54" s="447" t="s">
        <v>355</v>
      </c>
      <c r="AB54" s="444" t="s">
        <v>356</v>
      </c>
      <c r="AC54" s="444" t="s">
        <v>170</v>
      </c>
      <c r="AD54" s="438" t="s">
        <v>163</v>
      </c>
      <c r="AE54" s="439"/>
      <c r="AF54" s="401" t="s">
        <v>451</v>
      </c>
      <c r="AG54" s="402"/>
      <c r="AH54" s="401" t="s">
        <v>452</v>
      </c>
      <c r="AI54" s="402"/>
      <c r="AJ54" s="401" t="s">
        <v>453</v>
      </c>
      <c r="AK54" s="402"/>
      <c r="AL54" s="72"/>
      <c r="AM54" s="75"/>
      <c r="AN54" s="391"/>
      <c r="AO54" s="391"/>
      <c r="AP54" s="391"/>
      <c r="AQ54" s="391"/>
      <c r="AR54" s="391"/>
      <c r="AS54" s="391"/>
      <c r="AT54" s="391"/>
      <c r="AU54" s="391"/>
      <c r="AV54" s="392"/>
      <c r="AW54" s="249"/>
    </row>
    <row r="55" spans="1:49" ht="15.75" customHeight="1" x14ac:dyDescent="0.3">
      <c r="A55" s="206"/>
      <c r="B55" s="71"/>
      <c r="C55" s="431"/>
      <c r="D55" s="431"/>
      <c r="E55" s="431"/>
      <c r="F55" s="431"/>
      <c r="G55" s="259"/>
      <c r="H55" s="262"/>
      <c r="I55" s="259"/>
      <c r="J55" s="262"/>
      <c r="K55" s="260"/>
      <c r="L55" s="261"/>
      <c r="M55" s="224"/>
      <c r="N55" s="72"/>
      <c r="O55" s="440"/>
      <c r="P55" s="441"/>
      <c r="Q55" s="440"/>
      <c r="R55" s="466"/>
      <c r="S55" s="441"/>
      <c r="T55" s="459"/>
      <c r="U55" s="460"/>
      <c r="V55" s="461"/>
      <c r="W55" s="440"/>
      <c r="X55" s="441"/>
      <c r="Y55" s="440"/>
      <c r="Z55" s="441"/>
      <c r="AA55" s="448"/>
      <c r="AB55" s="445"/>
      <c r="AC55" s="445"/>
      <c r="AD55" s="440"/>
      <c r="AE55" s="441"/>
      <c r="AF55" s="403"/>
      <c r="AG55" s="404"/>
      <c r="AH55" s="403"/>
      <c r="AI55" s="404"/>
      <c r="AJ55" s="403"/>
      <c r="AK55" s="404"/>
      <c r="AL55" s="72"/>
      <c r="AM55" s="75"/>
      <c r="AN55" s="391"/>
      <c r="AO55" s="391"/>
      <c r="AP55" s="391"/>
      <c r="AQ55" s="391"/>
      <c r="AR55" s="391"/>
      <c r="AS55" s="391"/>
      <c r="AT55" s="391"/>
      <c r="AU55" s="391"/>
      <c r="AV55" s="392"/>
      <c r="AW55" s="249"/>
    </row>
    <row r="56" spans="1:49" ht="15.75" customHeight="1" x14ac:dyDescent="0.3">
      <c r="A56" s="206"/>
      <c r="B56" s="77" t="s">
        <v>301</v>
      </c>
      <c r="C56" s="77"/>
      <c r="D56" s="77"/>
      <c r="E56" s="77"/>
      <c r="F56" s="77"/>
      <c r="G56" s="115"/>
      <c r="H56" s="257">
        <f>D29</f>
        <v>0</v>
      </c>
      <c r="I56" s="115"/>
      <c r="J56" s="258"/>
      <c r="K56" s="77"/>
      <c r="L56" s="77"/>
      <c r="M56" s="224"/>
      <c r="N56" s="72"/>
      <c r="O56" s="442"/>
      <c r="P56" s="443"/>
      <c r="Q56" s="442"/>
      <c r="R56" s="467"/>
      <c r="S56" s="443"/>
      <c r="T56" s="462"/>
      <c r="U56" s="463"/>
      <c r="V56" s="464"/>
      <c r="W56" s="442"/>
      <c r="X56" s="443"/>
      <c r="Y56" s="442"/>
      <c r="Z56" s="443"/>
      <c r="AA56" s="449"/>
      <c r="AB56" s="446"/>
      <c r="AC56" s="446"/>
      <c r="AD56" s="442"/>
      <c r="AE56" s="443"/>
      <c r="AF56" s="405"/>
      <c r="AG56" s="406"/>
      <c r="AH56" s="405"/>
      <c r="AI56" s="406"/>
      <c r="AJ56" s="405"/>
      <c r="AK56" s="406"/>
      <c r="AL56" s="72"/>
      <c r="AM56" s="75"/>
      <c r="AN56" s="391"/>
      <c r="AO56" s="391"/>
      <c r="AP56" s="391"/>
      <c r="AQ56" s="391"/>
      <c r="AR56" s="391"/>
      <c r="AS56" s="391"/>
      <c r="AT56" s="391"/>
      <c r="AU56" s="391"/>
      <c r="AV56" s="392"/>
      <c r="AW56" s="182"/>
    </row>
    <row r="57" spans="1:49" ht="15.75" customHeight="1" x14ac:dyDescent="0.3">
      <c r="A57" s="206"/>
      <c r="B57" s="83" t="s">
        <v>122</v>
      </c>
      <c r="C57" s="83"/>
      <c r="D57" s="83"/>
      <c r="E57" s="83"/>
      <c r="F57" s="83"/>
      <c r="G57" s="73"/>
      <c r="H57" s="92">
        <f>D29</f>
        <v>0</v>
      </c>
      <c r="I57" s="73"/>
      <c r="J57" s="84"/>
      <c r="K57" s="83"/>
      <c r="L57" s="83"/>
      <c r="M57" s="223"/>
      <c r="N57" s="72"/>
      <c r="O57" s="479"/>
      <c r="P57" s="480"/>
      <c r="Q57" s="479"/>
      <c r="R57" s="484"/>
      <c r="S57" s="480"/>
      <c r="T57" s="524"/>
      <c r="U57" s="525"/>
      <c r="V57" s="526"/>
      <c r="W57" s="470"/>
      <c r="X57" s="470"/>
      <c r="Y57" s="537"/>
      <c r="Z57" s="538"/>
      <c r="AA57" s="211"/>
      <c r="AB57" s="212" t="str">
        <f>IF(W57="Water &amp; Sewer",ROUNDUP(Y57*0.8,1),IF(W57="Water Only",VLOOKUP(AC57,'Meter Schedule List'!$Q$54:$AM$62,18,FALSE),IF(W57="Sub-meter",VLOOKUP(AC57,'Meter Schedule List'!$Q$54:$AM$62,20,FALSE),IF(W57="",""))))</f>
        <v/>
      </c>
      <c r="AC57" s="371" t="str">
        <f>IF(AND(AA57&gt;'Meter Schedule List'!$AC$54,AA57&lt;='Meter Schedule List'!$AD$54),"5/8-Inch",IF(AND(AA57&gt;'Meter Schedule List'!$AC$55,AA57&lt;='Meter Schedule List'!$AD$55),"1-Inch",IF(AND(AA57&gt;'Meter Schedule List'!$AC$56,AA57&lt;='Meter Schedule List'!$AD$56),"1.5-Inch",IF(AND(AA57&gt;'Meter Schedule List'!$AC$57,AA57&lt;='Meter Schedule List'!$AD$57),"2-Inch",IF(AND(AA57&gt;'Meter Schedule List'!$AC$58,AA57&lt;='Meter Schedule List'!$AD$58),"3-Inch",IF(AND(AA57&gt;'Meter Schedule List'!$AC$59,AA57&lt;='Meter Schedule List'!$AD$59),"4-Inch",IF(AND(AA57&gt;'Meter Schedule List'!$AC$60,AA57&lt;='Meter Schedule List'!$AD$60),"6-Inch",IF(AND(AA57&gt;'Meter Schedule List'!$AC$61,AA57&lt;='Meter Schedule List'!$AD$61),"8-Inch",IF(AND(AA57&gt;'Meter Schedule List'!$AC$62,AA57&lt;='Meter Schedule List'!$AD$62),"10-Inch",IF(AA57="",""))))))))))</f>
        <v/>
      </c>
      <c r="AD57" s="468" t="str">
        <f>IF(AND(W57='Meter Schedule List'!$S$54),VLOOKUP(AC57,'Meter Schedule List'!$Q$54:$AD$62,2,FALSE),IF(AND(W57='Meter Schedule List'!$T$54),VLOOKUP(AC57,'Meter Schedule List'!$Q$54:$AD$62,2,FALSE),IF(AND(W57='Meter Schedule List'!$V$54),VLOOKUP(AC57,'Meter Schedule List'!$Q$54:$AD$62,2,FALSE),IF(AND(W57='Meter Schedule List'!$U$54),VLOOKUP(AC57,'Meter Schedule List'!$Q$63:$AD$69,2,FALSE),IF(W57="","")))))</f>
        <v/>
      </c>
      <c r="AE57" s="469"/>
      <c r="AF57" s="393" t="str">
        <f>IF(AND(W57='Meter Schedule List'!$AL$52),VLOOKUP(AC57,'Meter Schedule List'!$Q$53:$AO$69,22,FALSE)*AB57,IF(AND(W57='Meter Schedule List'!$AM$52),VLOOKUP(AC57,'Meter Schedule List'!$Q$53:$AO$69,23,FALSE)*AB57,IF(AND(W57='Meter Schedule List'!$AN$52),VLOOKUP(AC57,'Meter Schedule List'!$Q$53:$AO$69,24,FALSE)*AB57,IF(AND(W57='Meter Schedule List'!$AO$52),VLOOKUP(AC57,'Meter Schedule List'!$Q$53:$AO$69,25,FALSE),IF(AC57="","")))))</f>
        <v/>
      </c>
      <c r="AG57" s="394"/>
      <c r="AH57" s="393" t="str">
        <f>IF(AND(W57='Meter Schedule List'!$AS$52),VLOOKUP(AC57,'Meter Schedule List'!$Q$53:$AV$69,29,FALSE)*AB57,IF(AND(W57='Meter Schedule List'!$AT$52),VLOOKUP(AC57,'Meter Schedule List'!$Q$53:$AV$69,30,FALSE)*AB57,IF(AND(W57='Meter Schedule List'!$AU$52),VLOOKUP(AC57,'Meter Schedule List'!$Q$53:$AV$69,31,FALSE)*AB57,IF(AND(W57='Meter Schedule List'!$AV$52),VLOOKUP(AC57,'Meter Schedule List'!$Q$53:$AV$69,32,FALSE),IF(AC57="","")))))</f>
        <v/>
      </c>
      <c r="AI57" s="394"/>
      <c r="AJ57" s="393" t="str">
        <f>IF(AND(W57='Meter Schedule List'!$AZ$52),VLOOKUP(AC57,'Meter Schedule List'!$Q$53:$BC$69,36,FALSE)*AB57,IF(AND(W57='Meter Schedule List'!$BA$52),VLOOKUP(AC57,'Meter Schedule List'!$Q$53:$BC$69,37,FALSE)*AB57,IF(AND(W57='Meter Schedule List'!$BB$52),VLOOKUP(AC57,'Meter Schedule List'!$Q$53:$BC$69,38,FALSE)*AB57,IF(AND(W57='Meter Schedule List'!$BC$52),VLOOKUP(AC57,'Meter Schedule List'!$Q$53:$BC$69,39,FALSE),IF(AC57="","")))))</f>
        <v/>
      </c>
      <c r="AK57" s="394"/>
      <c r="AL57" s="72"/>
      <c r="AM57" s="162"/>
      <c r="AN57" s="391"/>
      <c r="AO57" s="391"/>
      <c r="AP57" s="391"/>
      <c r="AQ57" s="391"/>
      <c r="AR57" s="391"/>
      <c r="AS57" s="391"/>
      <c r="AT57" s="391"/>
      <c r="AU57" s="391"/>
      <c r="AV57" s="392"/>
      <c r="AW57" s="182"/>
    </row>
    <row r="58" spans="1:49" ht="15.75" customHeight="1" x14ac:dyDescent="0.3">
      <c r="A58" s="181"/>
      <c r="B58" s="83"/>
      <c r="C58" s="83"/>
      <c r="D58" s="83"/>
      <c r="E58" s="83"/>
      <c r="F58" s="83"/>
      <c r="G58" s="74"/>
      <c r="H58" s="92"/>
      <c r="I58" s="74"/>
      <c r="J58" s="83"/>
      <c r="K58" s="83"/>
      <c r="L58" s="83"/>
      <c r="M58" s="225"/>
      <c r="N58" s="72"/>
      <c r="O58" s="479"/>
      <c r="P58" s="480"/>
      <c r="Q58" s="479"/>
      <c r="R58" s="484"/>
      <c r="S58" s="480"/>
      <c r="T58" s="524"/>
      <c r="U58" s="525"/>
      <c r="V58" s="526"/>
      <c r="W58" s="470"/>
      <c r="X58" s="470"/>
      <c r="Y58" s="537"/>
      <c r="Z58" s="538"/>
      <c r="AA58" s="213"/>
      <c r="AB58" s="212" t="str">
        <f>IF(W58="Water &amp; Sewer",ROUNDUP(Y58*0.8,1),IF(W58="Water Only",VLOOKUP(AC58,'Meter Schedule List'!$Q$54:$AM$62,18,FALSE),IF(W58="Sub-meter",VLOOKUP(AC58,'Meter Schedule List'!$Q$54:$AM$62,20,FALSE),IF(W58="",""))))</f>
        <v/>
      </c>
      <c r="AC58" s="371" t="str">
        <f>IF(AND(AA58&gt;'Meter Schedule List'!$AC$54,AA58&lt;='Meter Schedule List'!$AD$54),"5/8-Inch",IF(AND(AA58&gt;'Meter Schedule List'!$AC$55,AA58&lt;='Meter Schedule List'!$AD$55),"1-Inch",IF(AND(AA58&gt;'Meter Schedule List'!$AC$56,AA58&lt;='Meter Schedule List'!$AD$56),"1.5-Inch",IF(AND(AA58&gt;'Meter Schedule List'!$AC$57,AA58&lt;='Meter Schedule List'!$AD$57),"2-Inch",IF(AND(AA58&gt;'Meter Schedule List'!$AC$58,AA58&lt;='Meter Schedule List'!$AD$58),"3-Inch",IF(AND(AA58&gt;'Meter Schedule List'!$AC$59,AA58&lt;='Meter Schedule List'!$AD$59),"4-Inch",IF(AND(AA58&gt;'Meter Schedule List'!$AC$60,AA58&lt;='Meter Schedule List'!$AD$60),"6-Inch",IF(AND(AA58&gt;'Meter Schedule List'!$AC$61,AA58&lt;='Meter Schedule List'!$AD$61),"8-Inch",IF(AND(AA58&gt;'Meter Schedule List'!$AC$62,AA58&lt;='Meter Schedule List'!$AD$62),"10-Inch",IF(AA58="",""))))))))))</f>
        <v/>
      </c>
      <c r="AD58" s="468" t="str">
        <f>IF(AND(W58='Meter Schedule List'!$S$54),VLOOKUP(AC58,'Meter Schedule List'!$Q$54:$AD$62,2,FALSE),IF(AND(W58='Meter Schedule List'!$T$54),VLOOKUP(AC58,'Meter Schedule List'!$Q$54:$AD$62,2,FALSE),IF(AND(W58='Meter Schedule List'!$V$54),VLOOKUP(AC58,'Meter Schedule List'!$Q$54:$AD$62,2,FALSE),IF(AND(W58='Meter Schedule List'!$U$54),VLOOKUP(AC58,'Meter Schedule List'!$Q$63:$AD$69,2,FALSE),IF(W58="","")))))</f>
        <v/>
      </c>
      <c r="AE58" s="469"/>
      <c r="AF58" s="393" t="str">
        <f>IF(AND(W58='Meter Schedule List'!$AL$52),VLOOKUP(AC58,'Meter Schedule List'!$Q$53:$AO$69,22,FALSE)*AB58,IF(AND(W58='Meter Schedule List'!$AM$52),VLOOKUP(AC58,'Meter Schedule List'!$Q$53:$AO$69,23,FALSE)*AB58,IF(AND(W58='Meter Schedule List'!$AN$52),VLOOKUP(AC58,'Meter Schedule List'!$Q$53:$AO$69,24,FALSE)*AB58,IF(AND(W58='Meter Schedule List'!$AO$52),VLOOKUP(AC58,'Meter Schedule List'!$Q$53:$AO$69,25,FALSE),IF(AC58="","")))))</f>
        <v/>
      </c>
      <c r="AG58" s="394"/>
      <c r="AH58" s="393" t="str">
        <f>IF(AND(W58='Meter Schedule List'!$AS$52),VLOOKUP(AC58,'Meter Schedule List'!$Q$53:$AV$69,29,FALSE)*AB58,IF(AND(W58='Meter Schedule List'!$AT$52),VLOOKUP(AC58,'Meter Schedule List'!$Q$53:$AV$69,30,FALSE)*AB58,IF(AND(W58='Meter Schedule List'!$AU$52),VLOOKUP(AC58,'Meter Schedule List'!$Q$53:$AV$69,31,FALSE)*AB58,IF(AND(W58='Meter Schedule List'!$AV$52),VLOOKUP(AC58,'Meter Schedule List'!$Q$53:$AV$69,32,FALSE),IF(AC58="","")))))</f>
        <v/>
      </c>
      <c r="AI58" s="394"/>
      <c r="AJ58" s="393" t="str">
        <f>IF(AND(W58='Meter Schedule List'!$AZ$52),VLOOKUP(AC58,'Meter Schedule List'!$Q$53:$BC$69,36,FALSE)*AB58,IF(AND(W58='Meter Schedule List'!$BA$52),VLOOKUP(AC58,'Meter Schedule List'!$Q$53:$BC$69,37,FALSE)*AB58,IF(AND(W58='Meter Schedule List'!$BB$52),VLOOKUP(AC58,'Meter Schedule List'!$Q$53:$BC$69,38,FALSE)*AB58,IF(AND(W58='Meter Schedule List'!$BC$52),VLOOKUP(AC58,'Meter Schedule List'!$Q$53:$BC$69,39,FALSE),IF(AC58="","")))))</f>
        <v/>
      </c>
      <c r="AK58" s="394"/>
      <c r="AL58" s="72"/>
      <c r="AM58" s="75"/>
      <c r="AN58" s="72"/>
      <c r="AO58" s="96"/>
      <c r="AP58" s="96"/>
      <c r="AQ58" s="96"/>
      <c r="AR58" s="96"/>
      <c r="AS58" s="96"/>
      <c r="AT58" s="96"/>
      <c r="AU58" s="96"/>
      <c r="AV58" s="366"/>
      <c r="AW58" s="182"/>
    </row>
    <row r="59" spans="1:49" ht="15.75" customHeight="1" x14ac:dyDescent="0.3">
      <c r="A59" s="206"/>
      <c r="B59" s="83" t="s">
        <v>329</v>
      </c>
      <c r="C59" s="83"/>
      <c r="D59" s="83"/>
      <c r="E59" s="83"/>
      <c r="F59" s="83"/>
      <c r="G59" s="73"/>
      <c r="H59" s="92">
        <f>K29+D38+K38</f>
        <v>0</v>
      </c>
      <c r="I59" s="73"/>
      <c r="J59" s="84"/>
      <c r="K59" s="83"/>
      <c r="L59" s="83"/>
      <c r="M59" s="223"/>
      <c r="N59" s="72"/>
      <c r="O59" s="479"/>
      <c r="P59" s="480"/>
      <c r="Q59" s="479"/>
      <c r="R59" s="484"/>
      <c r="S59" s="480"/>
      <c r="T59" s="524"/>
      <c r="U59" s="525"/>
      <c r="V59" s="526"/>
      <c r="W59" s="470"/>
      <c r="X59" s="470"/>
      <c r="Y59" s="537"/>
      <c r="Z59" s="538"/>
      <c r="AA59" s="213"/>
      <c r="AB59" s="212" t="str">
        <f>IF(W59="Water &amp; Sewer",ROUNDUP(Y59*0.8,1),IF(W59="Water Only",VLOOKUP(AC59,'Meter Schedule List'!$Q$54:$AM$62,18,FALSE),IF(W59="Sub-meter",VLOOKUP(AC59,'Meter Schedule List'!$Q$54:$AM$62,20,FALSE),IF(W59="",""))))</f>
        <v/>
      </c>
      <c r="AC59" s="371" t="str">
        <f>IF(AND(AA59&gt;'Meter Schedule List'!$AC$54,AA59&lt;='Meter Schedule List'!$AD$54),"5/8-Inch",IF(AND(AA59&gt;'Meter Schedule List'!$AC$55,AA59&lt;='Meter Schedule List'!$AD$55),"1-Inch",IF(AND(AA59&gt;'Meter Schedule List'!$AC$56,AA59&lt;='Meter Schedule List'!$AD$56),"1.5-Inch",IF(AND(AA59&gt;'Meter Schedule List'!$AC$57,AA59&lt;='Meter Schedule List'!$AD$57),"2-Inch",IF(AND(AA59&gt;'Meter Schedule List'!$AC$58,AA59&lt;='Meter Schedule List'!$AD$58),"3-Inch",IF(AND(AA59&gt;'Meter Schedule List'!$AC$59,AA59&lt;='Meter Schedule List'!$AD$59),"4-Inch",IF(AND(AA59&gt;'Meter Schedule List'!$AC$60,AA59&lt;='Meter Schedule List'!$AD$60),"6-Inch",IF(AND(AA59&gt;'Meter Schedule List'!$AC$61,AA59&lt;='Meter Schedule List'!$AD$61),"8-Inch",IF(AND(AA59&gt;'Meter Schedule List'!$AC$62,AA59&lt;='Meter Schedule List'!$AD$62),"10-Inch",IF(AA59="",""))))))))))</f>
        <v/>
      </c>
      <c r="AD59" s="468" t="str">
        <f>IF(AND(W59='Meter Schedule List'!$S$54),VLOOKUP(AC59,'Meter Schedule List'!$Q$54:$AD$62,2,FALSE),IF(AND(W59='Meter Schedule List'!$T$54),VLOOKUP(AC59,'Meter Schedule List'!$Q$54:$AD$62,2,FALSE),IF(AND(W59='Meter Schedule List'!$V$54),VLOOKUP(AC59,'Meter Schedule List'!$Q$54:$AD$62,2,FALSE),IF(AND(W59='Meter Schedule List'!$U$54),VLOOKUP(AC59,'Meter Schedule List'!$Q$63:$AD$69,2,FALSE),IF(W59="","")))))</f>
        <v/>
      </c>
      <c r="AE59" s="469"/>
      <c r="AF59" s="393" t="str">
        <f>IF(AND(W59='Meter Schedule List'!$AL$52),VLOOKUP(AC59,'Meter Schedule List'!$Q$53:$AO$69,22,FALSE)*AB59,IF(AND(W59='Meter Schedule List'!$AM$52),VLOOKUP(AC59,'Meter Schedule List'!$Q$53:$AO$69,23,FALSE)*AB59,IF(AND(W59='Meter Schedule List'!$AN$52),VLOOKUP(AC59,'Meter Schedule List'!$Q$53:$AO$69,24,FALSE)*AB59,IF(AND(W59='Meter Schedule List'!$AO$52),VLOOKUP(AC59,'Meter Schedule List'!$Q$53:$AO$69,25,FALSE),IF(AC59="","")))))</f>
        <v/>
      </c>
      <c r="AG59" s="394"/>
      <c r="AH59" s="393" t="str">
        <f>IF(AND(W59='Meter Schedule List'!$AS$52),VLOOKUP(AC59,'Meter Schedule List'!$Q$53:$AV$69,29,FALSE)*AB59,IF(AND(W59='Meter Schedule List'!$AT$52),VLOOKUP(AC59,'Meter Schedule List'!$Q$53:$AV$69,30,FALSE)*AB59,IF(AND(W59='Meter Schedule List'!$AU$52),VLOOKUP(AC59,'Meter Schedule List'!$Q$53:$AV$69,31,FALSE)*AB59,IF(AND(W59='Meter Schedule List'!$AV$52),VLOOKUP(AC59,'Meter Schedule List'!$Q$53:$AV$69,32,FALSE),IF(AC59="","")))))</f>
        <v/>
      </c>
      <c r="AI59" s="394"/>
      <c r="AJ59" s="393" t="str">
        <f>IF(AND(W59='Meter Schedule List'!$AZ$52),VLOOKUP(AC59,'Meter Schedule List'!$Q$53:$BC$69,36,FALSE)*AB59,IF(AND(W59='Meter Schedule List'!$BA$52),VLOOKUP(AC59,'Meter Schedule List'!$Q$53:$BC$69,37,FALSE)*AB59,IF(AND(W59='Meter Schedule List'!$BB$52),VLOOKUP(AC59,'Meter Schedule List'!$Q$53:$BC$69,38,FALSE)*AB59,IF(AND(W59='Meter Schedule List'!$BC$52),VLOOKUP(AC59,'Meter Schedule List'!$Q$53:$BC$69,39,FALSE),IF(AC59="","")))))</f>
        <v/>
      </c>
      <c r="AK59" s="394"/>
      <c r="AL59" s="72"/>
      <c r="AM59" s="161">
        <v>11</v>
      </c>
      <c r="AN59" s="515" t="s">
        <v>474</v>
      </c>
      <c r="AO59" s="515"/>
      <c r="AP59" s="515"/>
      <c r="AQ59" s="515"/>
      <c r="AR59" s="515"/>
      <c r="AS59" s="515"/>
      <c r="AT59" s="515"/>
      <c r="AU59" s="515"/>
      <c r="AV59" s="516"/>
      <c r="AW59" s="182"/>
    </row>
    <row r="60" spans="1:49" ht="15.75" customHeight="1" x14ac:dyDescent="0.3">
      <c r="A60" s="207"/>
      <c r="B60" s="83" t="s">
        <v>123</v>
      </c>
      <c r="C60" s="83"/>
      <c r="D60" s="83"/>
      <c r="E60" s="83"/>
      <c r="F60" s="83"/>
      <c r="G60" s="73"/>
      <c r="H60" s="92">
        <f>K29+D38+K38</f>
        <v>0</v>
      </c>
      <c r="I60" s="73"/>
      <c r="J60" s="84"/>
      <c r="K60" s="83"/>
      <c r="L60" s="83"/>
      <c r="M60" s="223"/>
      <c r="N60" s="72"/>
      <c r="O60" s="479"/>
      <c r="P60" s="480"/>
      <c r="Q60" s="479"/>
      <c r="R60" s="484"/>
      <c r="S60" s="480"/>
      <c r="T60" s="524"/>
      <c r="U60" s="525"/>
      <c r="V60" s="526"/>
      <c r="W60" s="470"/>
      <c r="X60" s="470"/>
      <c r="Y60" s="537"/>
      <c r="Z60" s="538"/>
      <c r="AA60" s="211"/>
      <c r="AB60" s="212" t="str">
        <f>IF(W60="Water &amp; Sewer",ROUNDUP(Y60*0.8,1),IF(W60="Water Only",VLOOKUP(AC60,'Meter Schedule List'!$Q$54:$AM$62,18,FALSE),IF(W60="Sub-meter",VLOOKUP(AC60,'Meter Schedule List'!$Q$54:$AM$62,20,FALSE),IF(W60="",""))))</f>
        <v/>
      </c>
      <c r="AC60" s="371" t="str">
        <f>IF(AND(AA60&gt;'Meter Schedule List'!$AC$54,AA60&lt;='Meter Schedule List'!$AD$54),"5/8-Inch",IF(AND(AA60&gt;'Meter Schedule List'!$AC$55,AA60&lt;='Meter Schedule List'!$AD$55),"1-Inch",IF(AND(AA60&gt;'Meter Schedule List'!$AC$56,AA60&lt;='Meter Schedule List'!$AD$56),"1.5-Inch",IF(AND(AA60&gt;'Meter Schedule List'!$AC$57,AA60&lt;='Meter Schedule List'!$AD$57),"2-Inch",IF(AND(AA60&gt;'Meter Schedule List'!$AC$58,AA60&lt;='Meter Schedule List'!$AD$58),"3-Inch",IF(AND(AA60&gt;'Meter Schedule List'!$AC$59,AA60&lt;='Meter Schedule List'!$AD$59),"4-Inch",IF(AND(AA60&gt;'Meter Schedule List'!$AC$60,AA60&lt;='Meter Schedule List'!$AD$60),"6-Inch",IF(AND(AA60&gt;'Meter Schedule List'!$AC$61,AA60&lt;='Meter Schedule List'!$AD$61),"8-Inch",IF(AND(AA60&gt;'Meter Schedule List'!$AC$62,AA60&lt;='Meter Schedule List'!$AD$62),"10-Inch",IF(AA60="",""))))))))))</f>
        <v/>
      </c>
      <c r="AD60" s="468" t="str">
        <f>IF(AND(W60='Meter Schedule List'!$S$54),VLOOKUP(AC60,'Meter Schedule List'!$Q$54:$AD$62,2,FALSE),IF(AND(W60='Meter Schedule List'!$T$54),VLOOKUP(AC60,'Meter Schedule List'!$Q$54:$AD$62,2,FALSE),IF(AND(W60='Meter Schedule List'!$V$54),VLOOKUP(AC60,'Meter Schedule List'!$Q$54:$AD$62,2,FALSE),IF(AND(W60='Meter Schedule List'!$U$54),VLOOKUP(AC60,'Meter Schedule List'!$Q$63:$AD$69,2,FALSE),IF(W60="","")))))</f>
        <v/>
      </c>
      <c r="AE60" s="469"/>
      <c r="AF60" s="393" t="str">
        <f>IF(AND(W60='Meter Schedule List'!$AL$52),VLOOKUP(AC60,'Meter Schedule List'!$Q$53:$AO$69,22,FALSE)*AB60,IF(AND(W60='Meter Schedule List'!$AM$52),VLOOKUP(AC60,'Meter Schedule List'!$Q$53:$AO$69,23,FALSE)*AB60,IF(AND(W60='Meter Schedule List'!$AN$52),VLOOKUP(AC60,'Meter Schedule List'!$Q$53:$AO$69,24,FALSE)*AB60,IF(AND(W60='Meter Schedule List'!$AO$52),VLOOKUP(AC60,'Meter Schedule List'!$Q$53:$AO$69,25,FALSE),IF(AC60="","")))))</f>
        <v/>
      </c>
      <c r="AG60" s="394"/>
      <c r="AH60" s="393" t="str">
        <f>IF(AND(W60='Meter Schedule List'!$AS$52),VLOOKUP(AC60,'Meter Schedule List'!$Q$53:$AV$69,29,FALSE)*AB60,IF(AND(W60='Meter Schedule List'!$AT$52),VLOOKUP(AC60,'Meter Schedule List'!$Q$53:$AV$69,30,FALSE)*AB60,IF(AND(W60='Meter Schedule List'!$AU$52),VLOOKUP(AC60,'Meter Schedule List'!$Q$53:$AV$69,31,FALSE)*AB60,IF(AND(W60='Meter Schedule List'!$AV$52),VLOOKUP(AC60,'Meter Schedule List'!$Q$53:$AV$69,32,FALSE),IF(AC60="","")))))</f>
        <v/>
      </c>
      <c r="AI60" s="394"/>
      <c r="AJ60" s="393" t="str">
        <f>IF(AND(W60='Meter Schedule List'!$AZ$52),VLOOKUP(AC60,'Meter Schedule List'!$Q$53:$BC$69,36,FALSE)*AB60,IF(AND(W60='Meter Schedule List'!$BA$52),VLOOKUP(AC60,'Meter Schedule List'!$Q$53:$BC$69,37,FALSE)*AB60,IF(AND(W60='Meter Schedule List'!$BB$52),VLOOKUP(AC60,'Meter Schedule List'!$Q$53:$BC$69,38,FALSE)*AB60,IF(AND(W60='Meter Schedule List'!$BC$52),VLOOKUP(AC60,'Meter Schedule List'!$Q$53:$BC$69,39,FALSE),IF(AC60="","")))))</f>
        <v/>
      </c>
      <c r="AK60" s="394"/>
      <c r="AL60" s="72"/>
      <c r="AM60" s="75"/>
      <c r="AN60" s="515"/>
      <c r="AO60" s="515"/>
      <c r="AP60" s="515"/>
      <c r="AQ60" s="515"/>
      <c r="AR60" s="515"/>
      <c r="AS60" s="515"/>
      <c r="AT60" s="515"/>
      <c r="AU60" s="515"/>
      <c r="AV60" s="516"/>
      <c r="AW60" s="182"/>
    </row>
    <row r="61" spans="1:49" ht="15.75" customHeight="1" x14ac:dyDescent="0.3">
      <c r="A61" s="207"/>
      <c r="B61" s="83"/>
      <c r="C61" s="83"/>
      <c r="D61" s="83"/>
      <c r="E61" s="83"/>
      <c r="F61" s="83"/>
      <c r="G61" s="74"/>
      <c r="H61" s="92"/>
      <c r="I61" s="74"/>
      <c r="J61" s="83"/>
      <c r="K61" s="83"/>
      <c r="L61" s="83"/>
      <c r="M61" s="223"/>
      <c r="N61" s="72"/>
      <c r="O61" s="479"/>
      <c r="P61" s="480"/>
      <c r="Q61" s="481"/>
      <c r="R61" s="482"/>
      <c r="S61" s="483"/>
      <c r="T61" s="471"/>
      <c r="U61" s="471"/>
      <c r="V61" s="472"/>
      <c r="W61" s="470"/>
      <c r="X61" s="470"/>
      <c r="Y61" s="537"/>
      <c r="Z61" s="538"/>
      <c r="AA61" s="213"/>
      <c r="AB61" s="212" t="str">
        <f>IF(W61="Water &amp; Sewer",ROUNDUP(Y61*0.8,1),IF(W61="Water Only",VLOOKUP(AC61,'Meter Schedule List'!$Q$54:$AM$62,18,FALSE),IF(W61="Sub-meter",VLOOKUP(AC61,'Meter Schedule List'!$Q$54:$AM$62,20,FALSE),IF(W61="",""))))</f>
        <v/>
      </c>
      <c r="AC61" s="371" t="str">
        <f>IF(AND(AA61&gt;'Meter Schedule List'!$AC$54,AA61&lt;='Meter Schedule List'!$AD$54),"5/8-Inch",IF(AND(AA61&gt;'Meter Schedule List'!$AC$55,AA61&lt;='Meter Schedule List'!$AD$55),"1-Inch",IF(AND(AA61&gt;'Meter Schedule List'!$AC$56,AA61&lt;='Meter Schedule List'!$AD$56),"1.5-Inch",IF(AND(AA61&gt;'Meter Schedule List'!$AC$57,AA61&lt;='Meter Schedule List'!$AD$57),"2-Inch",IF(AND(AA61&gt;'Meter Schedule List'!$AC$58,AA61&lt;='Meter Schedule List'!$AD$58),"3-Inch",IF(AND(AA61&gt;'Meter Schedule List'!$AC$59,AA61&lt;='Meter Schedule List'!$AD$59),"4-Inch",IF(AND(AA61&gt;'Meter Schedule List'!$AC$60,AA61&lt;='Meter Schedule List'!$AD$60),"6-Inch",IF(AND(AA61&gt;'Meter Schedule List'!$AC$61,AA61&lt;='Meter Schedule List'!$AD$61),"8-Inch",IF(AND(AA61&gt;'Meter Schedule List'!$AC$62,AA61&lt;='Meter Schedule List'!$AD$62),"10-Inch",IF(AA61="",""))))))))))</f>
        <v/>
      </c>
      <c r="AD61" s="468" t="str">
        <f>IF(AND(W61='Meter Schedule List'!$S$54),VLOOKUP(AC61,'Meter Schedule List'!$Q$54:$AD$62,2,FALSE),IF(AND(W61='Meter Schedule List'!$T$54),VLOOKUP(AC61,'Meter Schedule List'!$Q$54:$AD$62,2,FALSE),IF(AND(W61='Meter Schedule List'!$V$54),VLOOKUP(AC61,'Meter Schedule List'!$Q$54:$AD$62,2,FALSE),IF(AND(W61='Meter Schedule List'!$U$54),VLOOKUP(AC61,'Meter Schedule List'!$Q$63:$AD$69,2,FALSE),IF(W61="","")))))</f>
        <v/>
      </c>
      <c r="AE61" s="469"/>
      <c r="AF61" s="393" t="str">
        <f>IF(AND(W61='Meter Schedule List'!$AL$52),VLOOKUP(AC61,'Meter Schedule List'!$Q$53:$AO$69,22,FALSE)*AB61,IF(AND(W61='Meter Schedule List'!$AM$52),VLOOKUP(AC61,'Meter Schedule List'!$Q$53:$AO$69,23,FALSE)*AB61,IF(AND(W61='Meter Schedule List'!$AN$52),VLOOKUP(AC61,'Meter Schedule List'!$Q$53:$AO$69,24,FALSE)*AB61,IF(AND(W61='Meter Schedule List'!$AO$52),VLOOKUP(AC61,'Meter Schedule List'!$Q$53:$AO$69,25,FALSE),IF(AC61="","")))))</f>
        <v/>
      </c>
      <c r="AG61" s="394"/>
      <c r="AH61" s="393" t="str">
        <f>IF(AND(W61='Meter Schedule List'!$AS$52),VLOOKUP(AC61,'Meter Schedule List'!$Q$53:$AV$69,29,FALSE)*AB61,IF(AND(W61='Meter Schedule List'!$AT$52),VLOOKUP(AC61,'Meter Schedule List'!$Q$53:$AV$69,30,FALSE)*AB61,IF(AND(W61='Meter Schedule List'!$AU$52),VLOOKUP(AC61,'Meter Schedule List'!$Q$53:$AV$69,31,FALSE)*AB61,IF(AND(W61='Meter Schedule List'!$AV$52),VLOOKUP(AC61,'Meter Schedule List'!$Q$53:$AV$69,32,FALSE),IF(AC61="","")))))</f>
        <v/>
      </c>
      <c r="AI61" s="394"/>
      <c r="AJ61" s="393" t="str">
        <f>IF(AND(W61='Meter Schedule List'!$AZ$52),VLOOKUP(AC61,'Meter Schedule List'!$Q$53:$BC$69,36,FALSE)*AB61,IF(AND(W61='Meter Schedule List'!$BA$52),VLOOKUP(AC61,'Meter Schedule List'!$Q$53:$BC$69,37,FALSE)*AB61,IF(AND(W61='Meter Schedule List'!$BB$52),VLOOKUP(AC61,'Meter Schedule List'!$Q$53:$BC$69,38,FALSE)*AB61,IF(AND(W61='Meter Schedule List'!$BC$52),VLOOKUP(AC61,'Meter Schedule List'!$Q$53:$BC$69,39,FALSE),IF(AC61="","")))))</f>
        <v/>
      </c>
      <c r="AK61" s="394"/>
      <c r="AL61" s="72"/>
      <c r="AM61" s="75"/>
      <c r="AN61" s="515"/>
      <c r="AO61" s="515"/>
      <c r="AP61" s="515"/>
      <c r="AQ61" s="515"/>
      <c r="AR61" s="515"/>
      <c r="AS61" s="515"/>
      <c r="AT61" s="515"/>
      <c r="AU61" s="515"/>
      <c r="AV61" s="516"/>
      <c r="AW61" s="182"/>
    </row>
    <row r="62" spans="1:49" ht="15.75" customHeight="1" x14ac:dyDescent="0.3">
      <c r="A62" s="206"/>
      <c r="B62" s="80" t="s">
        <v>121</v>
      </c>
      <c r="C62" s="80"/>
      <c r="D62" s="80"/>
      <c r="E62" s="80"/>
      <c r="F62" s="80"/>
      <c r="G62" s="73"/>
      <c r="H62" s="93">
        <f>K29</f>
        <v>0</v>
      </c>
      <c r="I62" s="75"/>
      <c r="J62" s="86"/>
      <c r="K62" s="80"/>
      <c r="L62" s="80"/>
      <c r="M62" s="223"/>
      <c r="N62" s="72"/>
      <c r="O62" s="479"/>
      <c r="P62" s="480"/>
      <c r="Q62" s="481"/>
      <c r="R62" s="482"/>
      <c r="S62" s="483"/>
      <c r="T62" s="471"/>
      <c r="U62" s="471"/>
      <c r="V62" s="472"/>
      <c r="W62" s="470"/>
      <c r="X62" s="470"/>
      <c r="Y62" s="537"/>
      <c r="Z62" s="538"/>
      <c r="AA62" s="213"/>
      <c r="AB62" s="212" t="str">
        <f>IF(W62="Water &amp; Sewer",ROUNDUP(Y62*0.8,1),IF(W62="Water Only",VLOOKUP(AC62,'Meter Schedule List'!$Q$54:$AM$62,18,FALSE),IF(W62="Sub-meter",VLOOKUP(AC62,'Meter Schedule List'!$Q$54:$AM$62,20,FALSE),IF(W62="",""))))</f>
        <v/>
      </c>
      <c r="AC62" s="371" t="str">
        <f>IF(AND(AA62&gt;'Meter Schedule List'!$AC$54,AA62&lt;='Meter Schedule List'!$AD$54),"5/8-Inch",IF(AND(AA62&gt;'Meter Schedule List'!$AC$55,AA62&lt;='Meter Schedule List'!$AD$55),"1-Inch",IF(AND(AA62&gt;'Meter Schedule List'!$AC$56,AA62&lt;='Meter Schedule List'!$AD$56),"1.5-Inch",IF(AND(AA62&gt;'Meter Schedule List'!$AC$57,AA62&lt;='Meter Schedule List'!$AD$57),"2-Inch",IF(AND(AA62&gt;'Meter Schedule List'!$AC$58,AA62&lt;='Meter Schedule List'!$AD$58),"3-Inch",IF(AND(AA62&gt;'Meter Schedule List'!$AC$59,AA62&lt;='Meter Schedule List'!$AD$59),"4-Inch",IF(AND(AA62&gt;'Meter Schedule List'!$AC$60,AA62&lt;='Meter Schedule List'!$AD$60),"6-Inch",IF(AND(AA62&gt;'Meter Schedule List'!$AC$61,AA62&lt;='Meter Schedule List'!$AD$61),"8-Inch",IF(AND(AA62&gt;'Meter Schedule List'!$AC$62,AA62&lt;='Meter Schedule List'!$AD$62),"10-Inch",IF(AA62="",""))))))))))</f>
        <v/>
      </c>
      <c r="AD62" s="468" t="str">
        <f>IF(AND(W62='Meter Schedule List'!$S$54),VLOOKUP(AC62,'Meter Schedule List'!$Q$54:$AD$62,2,FALSE),IF(AND(W62='Meter Schedule List'!$T$54),VLOOKUP(AC62,'Meter Schedule List'!$Q$54:$AD$62,2,FALSE),IF(AND(W62='Meter Schedule List'!$V$54),VLOOKUP(AC62,'Meter Schedule List'!$Q$54:$AD$62,2,FALSE),IF(AND(W62='Meter Schedule List'!$U$54),VLOOKUP(AC62,'Meter Schedule List'!$Q$63:$AD$69,2,FALSE),IF(W62="","")))))</f>
        <v/>
      </c>
      <c r="AE62" s="469"/>
      <c r="AF62" s="393" t="str">
        <f>IF(AND(W62='Meter Schedule List'!$AL$52),VLOOKUP(AC62,'Meter Schedule List'!$Q$53:$AO$69,22,FALSE)*AB62,IF(AND(W62='Meter Schedule List'!$AM$52),VLOOKUP(AC62,'Meter Schedule List'!$Q$53:$AO$69,23,FALSE)*AB62,IF(AND(W62='Meter Schedule List'!$AN$52),VLOOKUP(AC62,'Meter Schedule List'!$Q$53:$AO$69,24,FALSE)*AB62,IF(AND(W62='Meter Schedule List'!$AO$52),VLOOKUP(AC62,'Meter Schedule List'!$Q$53:$AO$69,25,FALSE),IF(AC62="","")))))</f>
        <v/>
      </c>
      <c r="AG62" s="394"/>
      <c r="AH62" s="393" t="str">
        <f>IF(AND(W62='Meter Schedule List'!$AS$52),VLOOKUP(AC62,'Meter Schedule List'!$Q$53:$AV$69,29,FALSE)*AB62,IF(AND(W62='Meter Schedule List'!$AT$52),VLOOKUP(AC62,'Meter Schedule List'!$Q$53:$AV$69,30,FALSE)*AB62,IF(AND(W62='Meter Schedule List'!$AU$52),VLOOKUP(AC62,'Meter Schedule List'!$Q$53:$AV$69,31,FALSE)*AB62,IF(AND(W62='Meter Schedule List'!$AV$52),VLOOKUP(AC62,'Meter Schedule List'!$Q$53:$AV$69,32,FALSE),IF(AC62="","")))))</f>
        <v/>
      </c>
      <c r="AI62" s="394"/>
      <c r="AJ62" s="393" t="str">
        <f>IF(AND(W62='Meter Schedule List'!$AZ$52),VLOOKUP(AC62,'Meter Schedule List'!$Q$53:$BC$69,36,FALSE)*AB62,IF(AND(W62='Meter Schedule List'!$BA$52),VLOOKUP(AC62,'Meter Schedule List'!$Q$53:$BC$69,37,FALSE)*AB62,IF(AND(W62='Meter Schedule List'!$BB$52),VLOOKUP(AC62,'Meter Schedule List'!$Q$53:$BC$69,38,FALSE)*AB62,IF(AND(W62='Meter Schedule List'!$BC$52),VLOOKUP(AC62,'Meter Schedule List'!$Q$53:$BC$69,39,FALSE),IF(AC62="","")))))</f>
        <v/>
      </c>
      <c r="AK62" s="394"/>
      <c r="AL62" s="72"/>
      <c r="AM62" s="161"/>
      <c r="AN62" s="515"/>
      <c r="AO62" s="515"/>
      <c r="AP62" s="515"/>
      <c r="AQ62" s="515"/>
      <c r="AR62" s="515"/>
      <c r="AS62" s="515"/>
      <c r="AT62" s="515"/>
      <c r="AU62" s="515"/>
      <c r="AV62" s="516"/>
      <c r="AW62" s="182"/>
    </row>
    <row r="63" spans="1:49" ht="15.75" customHeight="1" x14ac:dyDescent="0.3">
      <c r="A63" s="181"/>
      <c r="B63" s="87"/>
      <c r="C63" s="87"/>
      <c r="D63" s="87"/>
      <c r="E63" s="87"/>
      <c r="F63" s="87"/>
      <c r="G63" s="87"/>
      <c r="H63" s="87"/>
      <c r="I63" s="87"/>
      <c r="J63" s="87"/>
      <c r="K63" s="87"/>
      <c r="L63" s="167"/>
      <c r="M63" s="223"/>
      <c r="N63" s="72"/>
      <c r="O63" s="479"/>
      <c r="P63" s="480"/>
      <c r="Q63" s="481"/>
      <c r="R63" s="482"/>
      <c r="S63" s="483"/>
      <c r="T63" s="471"/>
      <c r="U63" s="471"/>
      <c r="V63" s="472"/>
      <c r="W63" s="470"/>
      <c r="X63" s="470"/>
      <c r="Y63" s="485"/>
      <c r="Z63" s="486"/>
      <c r="AA63" s="214"/>
      <c r="AB63" s="212" t="str">
        <f>IF(W63="Water &amp; Sewer",ROUNDUP(Y63*0.8,1),IF(W63="Water Only",VLOOKUP(AC63,'Meter Schedule List'!$Q$54:$AM$62,18,FALSE),IF(W63="Sub-meter",VLOOKUP(AC63,'Meter Schedule List'!$Q$54:$AM$62,20,FALSE),IF(W63="",""))))</f>
        <v/>
      </c>
      <c r="AC63" s="371" t="str">
        <f>IF(AND(AA63&gt;'Meter Schedule List'!$AC$54,AA63&lt;='Meter Schedule List'!$AD$54),"5/8-Inch",IF(AND(AA63&gt;'Meter Schedule List'!$AC$55,AA63&lt;='Meter Schedule List'!$AD$55),"1-Inch",IF(AND(AA63&gt;'Meter Schedule List'!$AC$56,AA63&lt;='Meter Schedule List'!$AD$56),"1.5-Inch",IF(AND(AA63&gt;'Meter Schedule List'!$AC$57,AA63&lt;='Meter Schedule List'!$AD$57),"2-Inch",IF(AND(AA63&gt;'Meter Schedule List'!$AC$58,AA63&lt;='Meter Schedule List'!$AD$58),"3-Inch",IF(AND(AA63&gt;'Meter Schedule List'!$AC$59,AA63&lt;='Meter Schedule List'!$AD$59),"4-Inch",IF(AND(AA63&gt;'Meter Schedule List'!$AC$60,AA63&lt;='Meter Schedule List'!$AD$60),"6-Inch",IF(AND(AA63&gt;'Meter Schedule List'!$AC$61,AA63&lt;='Meter Schedule List'!$AD$61),"8-Inch",IF(AND(AA63&gt;'Meter Schedule List'!$AC$62,AA63&lt;='Meter Schedule List'!$AD$62),"10-Inch",IF(AA63="",""))))))))))</f>
        <v/>
      </c>
      <c r="AD63" s="468" t="str">
        <f>IF(AND(W63='Meter Schedule List'!$S$54),VLOOKUP(AC63,'Meter Schedule List'!$Q$54:$AD$62,2,FALSE),IF(AND(W63='Meter Schedule List'!$T$54),VLOOKUP(AC63,'Meter Schedule List'!$Q$54:$AD$62,2,FALSE),IF(AND(W63='Meter Schedule List'!$V$54),VLOOKUP(AC63,'Meter Schedule List'!$Q$54:$AD$62,2,FALSE),IF(AND(W63='Meter Schedule List'!$U$54),VLOOKUP(AC63,'Meter Schedule List'!$Q$63:$AD$69,2,FALSE),IF(W63="","")))))</f>
        <v/>
      </c>
      <c r="AE63" s="469"/>
      <c r="AF63" s="393" t="str">
        <f>IF(AND(W63='Meter Schedule List'!$AL$52),VLOOKUP(AC63,'Meter Schedule List'!$Q$53:$AO$69,22,FALSE)*AB63,IF(AND(W63='Meter Schedule List'!$AM$52),VLOOKUP(AC63,'Meter Schedule List'!$Q$53:$AO$69,23,FALSE)*AB63,IF(AND(W63='Meter Schedule List'!$AN$52),VLOOKUP(AC63,'Meter Schedule List'!$Q$53:$AO$69,24,FALSE)*AB63,IF(AND(W63='Meter Schedule List'!$AO$52),VLOOKUP(AC63,'Meter Schedule List'!$Q$53:$AO$69,25,FALSE),IF(AC63="","")))))</f>
        <v/>
      </c>
      <c r="AG63" s="394"/>
      <c r="AH63" s="393" t="str">
        <f>IF(AND(W63='Meter Schedule List'!$AS$52),VLOOKUP(AC63,'Meter Schedule List'!$Q$53:$AV$69,29,FALSE)*AB63,IF(AND(W63='Meter Schedule List'!$AT$52),VLOOKUP(AC63,'Meter Schedule List'!$Q$53:$AV$69,30,FALSE)*AB63,IF(AND(W63='Meter Schedule List'!$AU$52),VLOOKUP(AC63,'Meter Schedule List'!$Q$53:$AV$69,31,FALSE)*AB63,IF(AND(W63='Meter Schedule List'!$AV$52),VLOOKUP(AC63,'Meter Schedule List'!$Q$53:$AV$69,32,FALSE),IF(AC63="","")))))</f>
        <v/>
      </c>
      <c r="AI63" s="394"/>
      <c r="AJ63" s="393" t="str">
        <f>IF(AND(W63='Meter Schedule List'!$AZ$52),VLOOKUP(AC63,'Meter Schedule List'!$Q$53:$BC$69,36,FALSE)*AB63,IF(AND(W63='Meter Schedule List'!$BA$52),VLOOKUP(AC63,'Meter Schedule List'!$Q$53:$BC$69,37,FALSE)*AB63,IF(AND(W63='Meter Schedule List'!$BB$52),VLOOKUP(AC63,'Meter Schedule List'!$Q$53:$BC$69,38,FALSE)*AB63,IF(AND(W63='Meter Schedule List'!$BC$52),VLOOKUP(AC63,'Meter Schedule List'!$Q$53:$BC$69,39,FALSE),IF(AC63="","")))))</f>
        <v/>
      </c>
      <c r="AK63" s="394"/>
      <c r="AL63" s="72"/>
      <c r="AM63" s="75"/>
      <c r="AN63" s="515"/>
      <c r="AO63" s="515"/>
      <c r="AP63" s="515"/>
      <c r="AQ63" s="515"/>
      <c r="AR63" s="515"/>
      <c r="AS63" s="515"/>
      <c r="AT63" s="515"/>
      <c r="AU63" s="515"/>
      <c r="AV63" s="516"/>
      <c r="AW63" s="182"/>
    </row>
    <row r="64" spans="1:49" ht="15.75" customHeight="1" x14ac:dyDescent="0.3">
      <c r="A64" s="181"/>
      <c r="B64" s="149" t="s">
        <v>348</v>
      </c>
      <c r="D64" s="82"/>
      <c r="E64" s="82"/>
      <c r="F64" s="82"/>
      <c r="G64" s="82"/>
      <c r="H64" s="82"/>
      <c r="I64" s="82"/>
      <c r="J64" s="90"/>
      <c r="L64" s="251" t="str">
        <f>IF(AND(H56&gt;0,H56&lt;101),"Yes","No")</f>
        <v>No</v>
      </c>
      <c r="M64" s="223"/>
      <c r="N64" s="72"/>
      <c r="O64" s="479"/>
      <c r="P64" s="480"/>
      <c r="Q64" s="481"/>
      <c r="R64" s="482"/>
      <c r="S64" s="483"/>
      <c r="T64" s="471"/>
      <c r="U64" s="471"/>
      <c r="V64" s="472"/>
      <c r="W64" s="470"/>
      <c r="X64" s="470"/>
      <c r="Y64" s="485"/>
      <c r="Z64" s="486"/>
      <c r="AA64" s="214"/>
      <c r="AB64" s="212" t="str">
        <f>IF(W64="Water &amp; Sewer",ROUNDUP(Y64*0.8,1),IF(W64="Water Only",VLOOKUP(AC64,'Meter Schedule List'!$Q$54:$AM$62,18,FALSE),IF(W64="Sub-meter",VLOOKUP(AC64,'Meter Schedule List'!$Q$54:$AM$62,20,FALSE),IF(W64="",""))))</f>
        <v/>
      </c>
      <c r="AC64" s="371" t="str">
        <f>IF(AND(AA64&gt;'Meter Schedule List'!$AC$54,AA64&lt;='Meter Schedule List'!$AD$54),"5/8-Inch",IF(AND(AA64&gt;'Meter Schedule List'!$AC$55,AA64&lt;='Meter Schedule List'!$AD$55),"1-Inch",IF(AND(AA64&gt;'Meter Schedule List'!$AC$56,AA64&lt;='Meter Schedule List'!$AD$56),"1.5-Inch",IF(AND(AA64&gt;'Meter Schedule List'!$AC$57,AA64&lt;='Meter Schedule List'!$AD$57),"2-Inch",IF(AND(AA64&gt;'Meter Schedule List'!$AC$58,AA64&lt;='Meter Schedule List'!$AD$58),"3-Inch",IF(AND(AA64&gt;'Meter Schedule List'!$AC$59,AA64&lt;='Meter Schedule List'!$AD$59),"4-Inch",IF(AND(AA64&gt;'Meter Schedule List'!$AC$60,AA64&lt;='Meter Schedule List'!$AD$60),"6-Inch",IF(AND(AA64&gt;'Meter Schedule List'!$AC$61,AA64&lt;='Meter Schedule List'!$AD$61),"8-Inch",IF(AND(AA64&gt;'Meter Schedule List'!$AC$62,AA64&lt;='Meter Schedule List'!$AD$62),"10-Inch",IF(AA64="",""))))))))))</f>
        <v/>
      </c>
      <c r="AD64" s="468" t="str">
        <f>IF(AND(W64='Meter Schedule List'!$S$54),VLOOKUP(AC64,'Meter Schedule List'!$Q$54:$AD$62,2,FALSE),IF(AND(W64='Meter Schedule List'!$T$54),VLOOKUP(AC64,'Meter Schedule List'!$Q$54:$AD$62,2,FALSE),IF(AND(W64='Meter Schedule List'!$V$54),VLOOKUP(AC64,'Meter Schedule List'!$Q$54:$AD$62,2,FALSE),IF(AND(W64='Meter Schedule List'!$U$54),VLOOKUP(AC64,'Meter Schedule List'!$Q$63:$AD$69,2,FALSE),IF(W64="","")))))</f>
        <v/>
      </c>
      <c r="AE64" s="469"/>
      <c r="AF64" s="393" t="str">
        <f>IF(AND(W64='Meter Schedule List'!$AL$52),VLOOKUP(AC64,'Meter Schedule List'!$Q$53:$AO$69,22,FALSE)*AB64,IF(AND(W64='Meter Schedule List'!$AM$52),VLOOKUP(AC64,'Meter Schedule List'!$Q$53:$AO$69,23,FALSE)*AB64,IF(AND(W64='Meter Schedule List'!$AN$52),VLOOKUP(AC64,'Meter Schedule List'!$Q$53:$AO$69,24,FALSE)*AB64,IF(AND(W64='Meter Schedule List'!$AO$52),VLOOKUP(AC64,'Meter Schedule List'!$Q$53:$AO$69,25,FALSE),IF(AC64="","")))))</f>
        <v/>
      </c>
      <c r="AG64" s="394"/>
      <c r="AH64" s="393" t="str">
        <f>IF(AND(W64='Meter Schedule List'!$AS$52),VLOOKUP(AC64,'Meter Schedule List'!$Q$53:$AV$69,29,FALSE)*AB64,IF(AND(W64='Meter Schedule List'!$AT$52),VLOOKUP(AC64,'Meter Schedule List'!$Q$53:$AV$69,30,FALSE)*AB64,IF(AND(W64='Meter Schedule List'!$AU$52),VLOOKUP(AC64,'Meter Schedule List'!$Q$53:$AV$69,31,FALSE)*AB64,IF(AND(W64='Meter Schedule List'!$AV$52),VLOOKUP(AC64,'Meter Schedule List'!$Q$53:$AV$69,32,FALSE),IF(AC64="","")))))</f>
        <v/>
      </c>
      <c r="AI64" s="394"/>
      <c r="AJ64" s="393" t="str">
        <f>IF(AND(W64='Meter Schedule List'!$AZ$52),VLOOKUP(AC64,'Meter Schedule List'!$Q$53:$BC$69,36,FALSE)*AB64,IF(AND(W64='Meter Schedule List'!$BA$52),VLOOKUP(AC64,'Meter Schedule List'!$Q$53:$BC$69,37,FALSE)*AB64,IF(AND(W64='Meter Schedule List'!$BB$52),VLOOKUP(AC64,'Meter Schedule List'!$Q$53:$BC$69,38,FALSE)*AB64,IF(AND(W64='Meter Schedule List'!$BC$52),VLOOKUP(AC64,'Meter Schedule List'!$Q$53:$BC$69,39,FALSE),IF(AC64="","")))))</f>
        <v/>
      </c>
      <c r="AK64" s="394"/>
      <c r="AL64" s="72"/>
      <c r="AM64" s="75"/>
      <c r="AN64" s="72"/>
      <c r="AO64" s="96"/>
      <c r="AP64" s="96"/>
      <c r="AQ64" s="96"/>
      <c r="AR64" s="96"/>
      <c r="AS64" s="96"/>
      <c r="AT64" s="96"/>
      <c r="AU64" s="96"/>
      <c r="AV64" s="366"/>
      <c r="AW64" s="182"/>
    </row>
    <row r="65" spans="1:49" ht="15.75" customHeight="1" x14ac:dyDescent="0.3">
      <c r="A65" s="181"/>
      <c r="B65" s="149"/>
      <c r="D65" s="82"/>
      <c r="E65" s="82"/>
      <c r="F65" s="82"/>
      <c r="G65" s="82"/>
      <c r="H65" s="82"/>
      <c r="I65" s="82"/>
      <c r="J65" s="90"/>
      <c r="K65" s="90"/>
      <c r="L65" s="90"/>
      <c r="M65" s="223"/>
      <c r="N65" s="72"/>
      <c r="O65" s="479"/>
      <c r="P65" s="480"/>
      <c r="Q65" s="479"/>
      <c r="R65" s="484"/>
      <c r="S65" s="480"/>
      <c r="T65" s="471"/>
      <c r="U65" s="471"/>
      <c r="V65" s="472"/>
      <c r="W65" s="470"/>
      <c r="X65" s="470"/>
      <c r="Y65" s="485"/>
      <c r="Z65" s="486"/>
      <c r="AA65" s="214"/>
      <c r="AB65" s="212" t="str">
        <f>IF(W65="Water &amp; Sewer",ROUNDUP(Y65*0.8,1),IF(W65="Water Only",VLOOKUP(AC65,'Meter Schedule List'!$Q$54:$AM$62,18,FALSE),IF(W65="Sub-meter",VLOOKUP(AC65,'Meter Schedule List'!$Q$54:$AM$62,20,FALSE),IF(W65="",""))))</f>
        <v/>
      </c>
      <c r="AC65" s="371" t="str">
        <f>IF(AND(AA65&gt;'Meter Schedule List'!$AC$54,AA65&lt;='Meter Schedule List'!$AD$54),"5/8-Inch",IF(AND(AA65&gt;'Meter Schedule List'!$AC$55,AA65&lt;='Meter Schedule List'!$AD$55),"1-Inch",IF(AND(AA65&gt;'Meter Schedule List'!$AC$56,AA65&lt;='Meter Schedule List'!$AD$56),"1.5-Inch",IF(AND(AA65&gt;'Meter Schedule List'!$AC$57,AA65&lt;='Meter Schedule List'!$AD$57),"2-Inch",IF(AND(AA65&gt;'Meter Schedule List'!$AC$58,AA65&lt;='Meter Schedule List'!$AD$58),"3-Inch",IF(AND(AA65&gt;'Meter Schedule List'!$AC$59,AA65&lt;='Meter Schedule List'!$AD$59),"4-Inch",IF(AND(AA65&gt;'Meter Schedule List'!$AC$60,AA65&lt;='Meter Schedule List'!$AD$60),"6-Inch",IF(AND(AA65&gt;'Meter Schedule List'!$AC$61,AA65&lt;='Meter Schedule List'!$AD$61),"8-Inch",IF(AND(AA65&gt;'Meter Schedule List'!$AC$62,AA65&lt;='Meter Schedule List'!$AD$62),"10-Inch",IF(AA65="",""))))))))))</f>
        <v/>
      </c>
      <c r="AD65" s="468" t="str">
        <f>IF(AND(W65='Meter Schedule List'!$S$54),VLOOKUP(AC65,'Meter Schedule List'!$Q$54:$AD$62,2,FALSE),IF(AND(W65='Meter Schedule List'!$T$54),VLOOKUP(AC65,'Meter Schedule List'!$Q$54:$AD$62,2,FALSE),IF(AND(W65='Meter Schedule List'!$V$54),VLOOKUP(AC65,'Meter Schedule List'!$Q$54:$AD$62,2,FALSE),IF(AND(W65='Meter Schedule List'!$U$54),VLOOKUP(AC65,'Meter Schedule List'!$Q$63:$AD$69,2,FALSE),IF(W65="","")))))</f>
        <v/>
      </c>
      <c r="AE65" s="469"/>
      <c r="AF65" s="393" t="str">
        <f>IF(AND(W65='Meter Schedule List'!$AL$52),VLOOKUP(AC65,'Meter Schedule List'!$Q$53:$AO$69,22,FALSE)*AB65,IF(AND(W65='Meter Schedule List'!$AM$52),VLOOKUP(AC65,'Meter Schedule List'!$Q$53:$AO$69,23,FALSE)*AB65,IF(AND(W65='Meter Schedule List'!$AN$52),VLOOKUP(AC65,'Meter Schedule List'!$Q$53:$AO$69,24,FALSE)*AB65,IF(AND(W65='Meter Schedule List'!$AO$52),VLOOKUP(AC65,'Meter Schedule List'!$Q$53:$AO$69,25,FALSE),IF(AC65="","")))))</f>
        <v/>
      </c>
      <c r="AG65" s="394"/>
      <c r="AH65" s="393" t="str">
        <f>IF(AND(W65='Meter Schedule List'!$AS$52),VLOOKUP(AC65,'Meter Schedule List'!$Q$53:$AV$69,29,FALSE)*AB65,IF(AND(W65='Meter Schedule List'!$AT$52),VLOOKUP(AC65,'Meter Schedule List'!$Q$53:$AV$69,30,FALSE)*AB65,IF(AND(W65='Meter Schedule List'!$AU$52),VLOOKUP(AC65,'Meter Schedule List'!$Q$53:$AV$69,31,FALSE)*AB65,IF(AND(W65='Meter Schedule List'!$AV$52),VLOOKUP(AC65,'Meter Schedule List'!$Q$53:$AV$69,32,FALSE),IF(AC65="","")))))</f>
        <v/>
      </c>
      <c r="AI65" s="394"/>
      <c r="AJ65" s="393" t="str">
        <f>IF(AND(W65='Meter Schedule List'!$AZ$52),VLOOKUP(AC65,'Meter Schedule List'!$Q$53:$BC$69,36,FALSE)*AB65,IF(AND(W65='Meter Schedule List'!$BA$52),VLOOKUP(AC65,'Meter Schedule List'!$Q$53:$BC$69,37,FALSE)*AB65,IF(AND(W65='Meter Schedule List'!$BB$52),VLOOKUP(AC65,'Meter Schedule List'!$Q$53:$BC$69,38,FALSE)*AB65,IF(AND(W65='Meter Schedule List'!$BC$52),VLOOKUP(AC65,'Meter Schedule List'!$Q$53:$BC$69,39,FALSE),IF(AC65="","")))))</f>
        <v/>
      </c>
      <c r="AK65" s="394"/>
      <c r="AL65" s="72"/>
      <c r="AM65" s="161">
        <v>12</v>
      </c>
      <c r="AN65" s="391" t="s">
        <v>475</v>
      </c>
      <c r="AO65" s="391"/>
      <c r="AP65" s="391"/>
      <c r="AQ65" s="391"/>
      <c r="AR65" s="391"/>
      <c r="AS65" s="391"/>
      <c r="AT65" s="391"/>
      <c r="AU65" s="391"/>
      <c r="AV65" s="392"/>
      <c r="AW65" s="182"/>
    </row>
    <row r="66" spans="1:49" ht="15.75" customHeight="1" x14ac:dyDescent="0.3">
      <c r="A66" s="181"/>
      <c r="B66" s="150" t="s">
        <v>349</v>
      </c>
      <c r="D66" s="80"/>
      <c r="E66" s="80"/>
      <c r="F66" s="80"/>
      <c r="G66" s="80"/>
      <c r="H66" s="80"/>
      <c r="I66" s="80"/>
      <c r="J66" s="80"/>
      <c r="K66" s="80"/>
      <c r="L66" s="251" t="str">
        <f>IF(AND(H59&gt;0,H59&lt;101),"Yes","No")</f>
        <v>No</v>
      </c>
      <c r="M66" s="223"/>
      <c r="N66" s="72"/>
      <c r="O66" s="85" t="s">
        <v>317</v>
      </c>
      <c r="P66" s="285">
        <v>1</v>
      </c>
      <c r="Q66" s="285" t="s">
        <v>315</v>
      </c>
      <c r="R66" s="271"/>
      <c r="S66" s="271"/>
      <c r="T66" s="265"/>
      <c r="U66" s="265"/>
      <c r="V66" s="265"/>
      <c r="W66" s="265"/>
      <c r="X66" s="265"/>
      <c r="Y66" s="266"/>
      <c r="Z66" s="266"/>
      <c r="AA66" s="263"/>
      <c r="AB66" s="264"/>
      <c r="AC66" s="267"/>
      <c r="AD66" s="268"/>
      <c r="AE66" s="268"/>
      <c r="AF66" s="231"/>
      <c r="AG66" s="231"/>
      <c r="AH66" s="231"/>
      <c r="AI66" s="231"/>
      <c r="AJ66" s="269" t="str">
        <f>IF(AND(W66='Meter Schedule List'!$AL$52),VLOOKUP(AC66,'Meter Schedule List'!$Q$54:$AO$59,20,FALSE)*AB66,IF(AND(W66='Meter Schedule List'!$AM$52),VLOOKUP(AC66,'Meter Schedule List'!$Q$54:$AO$59,21,FALSE)*AB66,IF(AND(W66='Meter Schedule List'!$AN$52),VLOOKUP(AC66,'Meter Schedule List'!$Q$63:$AO$65,22,FALSE)*AB66,IF(AND(W66='Meter Schedule List'!$AO$52),VLOOKUP(AC66,'Meter Schedule List'!$Q$54:$AO$59,23,FALSE),IF(AC66="","")))))</f>
        <v/>
      </c>
      <c r="AK66" s="270"/>
      <c r="AL66" s="72"/>
      <c r="AM66" s="161"/>
      <c r="AN66" s="391"/>
      <c r="AO66" s="391"/>
      <c r="AP66" s="391"/>
      <c r="AQ66" s="391"/>
      <c r="AR66" s="391"/>
      <c r="AS66" s="391"/>
      <c r="AT66" s="391"/>
      <c r="AU66" s="391"/>
      <c r="AV66" s="392"/>
      <c r="AW66" s="182"/>
    </row>
    <row r="67" spans="1:49" ht="15.75" customHeight="1" x14ac:dyDescent="0.3">
      <c r="A67" s="181"/>
      <c r="B67" s="80"/>
      <c r="C67" s="158"/>
      <c r="D67" s="80"/>
      <c r="E67" s="80"/>
      <c r="F67" s="80"/>
      <c r="G67" s="80"/>
      <c r="H67" s="80"/>
      <c r="I67" s="80"/>
      <c r="J67" s="80"/>
      <c r="K67" s="80"/>
      <c r="L67" s="80"/>
      <c r="M67" s="223"/>
      <c r="N67" s="72"/>
      <c r="O67" s="75"/>
      <c r="P67" s="285">
        <v>2</v>
      </c>
      <c r="Q67" s="285" t="s">
        <v>313</v>
      </c>
      <c r="R67" s="72"/>
      <c r="S67" s="72"/>
      <c r="T67" s="72"/>
      <c r="U67" s="72"/>
      <c r="V67" s="72"/>
      <c r="W67" s="72"/>
      <c r="X67" s="72"/>
      <c r="Y67" s="72"/>
      <c r="Z67" s="72"/>
      <c r="AA67" s="72"/>
      <c r="AB67" s="72"/>
      <c r="AC67" s="72"/>
      <c r="AD67" s="72"/>
      <c r="AE67" s="72"/>
      <c r="AF67" s="72"/>
      <c r="AG67" s="72"/>
      <c r="AH67" s="72"/>
      <c r="AI67" s="72"/>
      <c r="AJ67" s="72"/>
      <c r="AK67" s="76"/>
      <c r="AL67" s="72"/>
      <c r="AM67" s="75"/>
      <c r="AN67" s="391"/>
      <c r="AO67" s="391"/>
      <c r="AP67" s="391"/>
      <c r="AQ67" s="391"/>
      <c r="AR67" s="391"/>
      <c r="AS67" s="391"/>
      <c r="AT67" s="391"/>
      <c r="AU67" s="391"/>
      <c r="AV67" s="392"/>
      <c r="AW67" s="182"/>
    </row>
    <row r="68" spans="1:49" ht="15.75" customHeight="1" x14ac:dyDescent="0.3">
      <c r="A68" s="181"/>
      <c r="B68" s="150" t="s">
        <v>350</v>
      </c>
      <c r="D68" s="80"/>
      <c r="E68" s="80"/>
      <c r="F68" s="80"/>
      <c r="G68" s="80"/>
      <c r="H68" s="80"/>
      <c r="I68" s="80"/>
      <c r="J68" s="80"/>
      <c r="K68" s="80"/>
      <c r="L68" s="251" t="s">
        <v>60</v>
      </c>
      <c r="M68" s="223"/>
      <c r="N68" s="72"/>
      <c r="O68" s="75"/>
      <c r="P68" s="285">
        <v>3</v>
      </c>
      <c r="Q68" s="285" t="s">
        <v>463</v>
      </c>
      <c r="R68" s="72"/>
      <c r="S68" s="72"/>
      <c r="T68" s="72"/>
      <c r="U68" s="72"/>
      <c r="V68" s="72"/>
      <c r="W68" s="72"/>
      <c r="X68" s="72"/>
      <c r="Y68" s="72"/>
      <c r="Z68" s="72"/>
      <c r="AA68" s="72"/>
      <c r="AB68" s="72"/>
      <c r="AC68" s="72"/>
      <c r="AD68" s="72"/>
      <c r="AE68" s="72"/>
      <c r="AF68" s="72"/>
      <c r="AG68" s="72"/>
      <c r="AH68" s="72"/>
      <c r="AI68" s="72"/>
      <c r="AJ68" s="72"/>
      <c r="AK68" s="76"/>
      <c r="AL68" s="72"/>
      <c r="AM68" s="75"/>
      <c r="AN68" s="72"/>
      <c r="AO68" s="96"/>
      <c r="AP68" s="96"/>
      <c r="AQ68" s="96"/>
      <c r="AR68" s="96"/>
      <c r="AS68" s="96"/>
      <c r="AT68" s="96"/>
      <c r="AU68" s="96"/>
      <c r="AV68" s="366"/>
      <c r="AW68" s="182"/>
    </row>
    <row r="69" spans="1:49" ht="15.75" customHeight="1" x14ac:dyDescent="0.3">
      <c r="A69" s="206"/>
      <c r="B69" s="77"/>
      <c r="C69" s="71"/>
      <c r="D69" s="77"/>
      <c r="E69" s="77"/>
      <c r="F69" s="77"/>
      <c r="G69" s="77"/>
      <c r="H69" s="77"/>
      <c r="I69" s="77"/>
      <c r="J69" s="77"/>
      <c r="K69" s="77"/>
      <c r="L69" s="71"/>
      <c r="M69" s="223"/>
      <c r="N69" s="72"/>
      <c r="O69" s="115"/>
      <c r="P69" s="288">
        <v>4</v>
      </c>
      <c r="Q69" s="288" t="s">
        <v>454</v>
      </c>
      <c r="R69" s="71"/>
      <c r="S69" s="71"/>
      <c r="T69" s="71"/>
      <c r="U69" s="71"/>
      <c r="V69" s="71"/>
      <c r="W69" s="71"/>
      <c r="X69" s="71"/>
      <c r="Y69" s="71"/>
      <c r="Z69" s="71"/>
      <c r="AA69" s="71"/>
      <c r="AB69" s="71"/>
      <c r="AC69" s="71"/>
      <c r="AD69" s="71"/>
      <c r="AE69" s="71"/>
      <c r="AF69" s="71"/>
      <c r="AG69" s="71"/>
      <c r="AH69" s="71"/>
      <c r="AI69" s="71"/>
      <c r="AJ69" s="71"/>
      <c r="AK69" s="88"/>
      <c r="AL69" s="72"/>
      <c r="AM69" s="161">
        <v>13</v>
      </c>
      <c r="AN69" s="391" t="s">
        <v>476</v>
      </c>
      <c r="AO69" s="391"/>
      <c r="AP69" s="391"/>
      <c r="AQ69" s="391"/>
      <c r="AR69" s="391"/>
      <c r="AS69" s="391"/>
      <c r="AT69" s="391"/>
      <c r="AU69" s="391"/>
      <c r="AV69" s="392"/>
      <c r="AW69" s="182"/>
    </row>
    <row r="70" spans="1:49" ht="15.75" customHeight="1" x14ac:dyDescent="0.3">
      <c r="A70" s="181"/>
      <c r="B70" s="204" t="s">
        <v>307</v>
      </c>
      <c r="C70" s="432"/>
      <c r="D70" s="432"/>
      <c r="E70" s="432"/>
      <c r="F70" s="432"/>
      <c r="G70" s="432"/>
      <c r="H70" s="432"/>
      <c r="I70" s="432"/>
      <c r="J70" s="432"/>
      <c r="K70" s="432"/>
      <c r="L70" s="433"/>
      <c r="M70" s="220"/>
      <c r="N70" s="72"/>
      <c r="O70" s="75"/>
      <c r="P70" s="72"/>
      <c r="Q70" s="72"/>
      <c r="R70" s="72"/>
      <c r="S70" s="72"/>
      <c r="T70" s="72"/>
      <c r="U70" s="72"/>
      <c r="V70" s="72"/>
      <c r="W70" s="72"/>
      <c r="X70" s="72"/>
      <c r="Y70" s="72"/>
      <c r="Z70" s="72"/>
      <c r="AA70" s="72"/>
      <c r="AB70" s="72"/>
      <c r="AC70" s="72"/>
      <c r="AD70" s="72"/>
      <c r="AE70" s="72"/>
      <c r="AF70" s="72"/>
      <c r="AG70" s="72"/>
      <c r="AH70" s="72"/>
      <c r="AI70" s="72"/>
      <c r="AJ70" s="72"/>
      <c r="AK70" s="76"/>
      <c r="AL70" s="72"/>
      <c r="AM70" s="161"/>
      <c r="AN70" s="391"/>
      <c r="AO70" s="391"/>
      <c r="AP70" s="391"/>
      <c r="AQ70" s="391"/>
      <c r="AR70" s="391"/>
      <c r="AS70" s="391"/>
      <c r="AT70" s="391"/>
      <c r="AU70" s="391"/>
      <c r="AV70" s="392"/>
      <c r="AW70" s="182"/>
    </row>
    <row r="71" spans="1:49" ht="15.75" customHeight="1" x14ac:dyDescent="0.6">
      <c r="A71" s="181"/>
      <c r="B71" s="72"/>
      <c r="C71" s="434"/>
      <c r="D71" s="434"/>
      <c r="E71" s="434"/>
      <c r="F71" s="434"/>
      <c r="G71" s="434"/>
      <c r="H71" s="434"/>
      <c r="I71" s="434"/>
      <c r="J71" s="434"/>
      <c r="K71" s="434"/>
      <c r="L71" s="435"/>
      <c r="M71" s="220"/>
      <c r="N71" s="72"/>
      <c r="O71" s="151"/>
      <c r="P71" s="167"/>
      <c r="Q71" s="167"/>
      <c r="R71" s="168"/>
      <c r="S71" s="168"/>
      <c r="T71" s="477" t="s">
        <v>302</v>
      </c>
      <c r="U71" s="477"/>
      <c r="V71" s="477"/>
      <c r="W71" s="477"/>
      <c r="X71" s="477"/>
      <c r="Y71" s="477"/>
      <c r="Z71" s="477"/>
      <c r="AA71" s="477"/>
      <c r="AB71" s="279"/>
      <c r="AC71" s="279"/>
      <c r="AD71" s="168"/>
      <c r="AE71" s="168"/>
      <c r="AF71" s="168"/>
      <c r="AG71" s="168"/>
      <c r="AH71" s="168"/>
      <c r="AI71" s="167"/>
      <c r="AJ71" s="167"/>
      <c r="AK71" s="89"/>
      <c r="AL71" s="72"/>
      <c r="AM71" s="161"/>
      <c r="AN71" s="391"/>
      <c r="AO71" s="391"/>
      <c r="AP71" s="391"/>
      <c r="AQ71" s="391"/>
      <c r="AR71" s="391"/>
      <c r="AS71" s="391"/>
      <c r="AT71" s="391"/>
      <c r="AU71" s="391"/>
      <c r="AV71" s="392"/>
      <c r="AW71" s="182"/>
    </row>
    <row r="72" spans="1:49" ht="15.75" customHeight="1" x14ac:dyDescent="0.6">
      <c r="A72" s="181"/>
      <c r="B72" s="72"/>
      <c r="C72" s="434"/>
      <c r="D72" s="434"/>
      <c r="E72" s="434"/>
      <c r="F72" s="434"/>
      <c r="G72" s="434"/>
      <c r="H72" s="434"/>
      <c r="I72" s="434"/>
      <c r="J72" s="434"/>
      <c r="K72" s="434"/>
      <c r="L72" s="435"/>
      <c r="M72" s="225"/>
      <c r="N72" s="72"/>
      <c r="O72" s="172"/>
      <c r="P72" s="120"/>
      <c r="Q72" s="120"/>
      <c r="R72" s="171"/>
      <c r="S72" s="171"/>
      <c r="T72" s="478"/>
      <c r="U72" s="478"/>
      <c r="V72" s="478"/>
      <c r="W72" s="478"/>
      <c r="X72" s="478"/>
      <c r="Y72" s="478"/>
      <c r="Z72" s="478"/>
      <c r="AA72" s="478"/>
      <c r="AB72" s="280"/>
      <c r="AC72" s="280"/>
      <c r="AD72" s="171"/>
      <c r="AE72" s="171"/>
      <c r="AF72" s="171"/>
      <c r="AG72" s="171"/>
      <c r="AH72" s="171"/>
      <c r="AI72" s="120"/>
      <c r="AJ72" s="120"/>
      <c r="AK72" s="173"/>
      <c r="AL72" s="72"/>
      <c r="AM72" s="161"/>
      <c r="AN72" s="391"/>
      <c r="AO72" s="391"/>
      <c r="AP72" s="391"/>
      <c r="AQ72" s="391"/>
      <c r="AR72" s="391"/>
      <c r="AS72" s="391"/>
      <c r="AT72" s="391"/>
      <c r="AU72" s="391"/>
      <c r="AV72" s="392"/>
      <c r="AW72" s="182"/>
    </row>
    <row r="73" spans="1:49" ht="15.75" customHeight="1" x14ac:dyDescent="0.3">
      <c r="A73" s="181"/>
      <c r="B73" s="72"/>
      <c r="C73" s="434"/>
      <c r="D73" s="434"/>
      <c r="E73" s="434"/>
      <c r="F73" s="434"/>
      <c r="G73" s="434"/>
      <c r="H73" s="434"/>
      <c r="I73" s="434"/>
      <c r="J73" s="434"/>
      <c r="K73" s="434"/>
      <c r="L73" s="435"/>
      <c r="M73" s="225"/>
      <c r="N73" s="72"/>
      <c r="O73" s="438" t="s">
        <v>174</v>
      </c>
      <c r="P73" s="439"/>
      <c r="Q73" s="438" t="s">
        <v>173</v>
      </c>
      <c r="R73" s="465"/>
      <c r="S73" s="439"/>
      <c r="T73" s="456" t="s">
        <v>172</v>
      </c>
      <c r="U73" s="457"/>
      <c r="V73" s="458"/>
      <c r="W73" s="438" t="s">
        <v>171</v>
      </c>
      <c r="X73" s="439"/>
      <c r="Y73" s="450" t="s">
        <v>425</v>
      </c>
      <c r="Z73" s="451"/>
      <c r="AA73" s="447" t="s">
        <v>357</v>
      </c>
      <c r="AB73" s="444" t="s">
        <v>358</v>
      </c>
      <c r="AC73" s="444" t="s">
        <v>170</v>
      </c>
      <c r="AD73" s="438" t="s">
        <v>163</v>
      </c>
      <c r="AE73" s="439"/>
      <c r="AF73" s="401" t="s">
        <v>451</v>
      </c>
      <c r="AG73" s="402"/>
      <c r="AH73" s="401" t="s">
        <v>452</v>
      </c>
      <c r="AI73" s="402"/>
      <c r="AJ73" s="401" t="s">
        <v>453</v>
      </c>
      <c r="AK73" s="402"/>
      <c r="AM73" s="75"/>
      <c r="AN73" s="391"/>
      <c r="AO73" s="391"/>
      <c r="AP73" s="391"/>
      <c r="AQ73" s="391"/>
      <c r="AR73" s="391"/>
      <c r="AS73" s="391"/>
      <c r="AT73" s="391"/>
      <c r="AU73" s="391"/>
      <c r="AV73" s="392"/>
      <c r="AW73" s="182"/>
    </row>
    <row r="74" spans="1:49" ht="15.75" customHeight="1" x14ac:dyDescent="0.3">
      <c r="A74" s="181"/>
      <c r="B74" s="72"/>
      <c r="C74" s="434"/>
      <c r="D74" s="434"/>
      <c r="E74" s="434"/>
      <c r="F74" s="434"/>
      <c r="G74" s="434"/>
      <c r="H74" s="434"/>
      <c r="I74" s="434"/>
      <c r="J74" s="434"/>
      <c r="K74" s="434"/>
      <c r="L74" s="435"/>
      <c r="M74" s="226"/>
      <c r="N74" s="72"/>
      <c r="O74" s="440"/>
      <c r="P74" s="441"/>
      <c r="Q74" s="440"/>
      <c r="R74" s="466"/>
      <c r="S74" s="441"/>
      <c r="T74" s="459"/>
      <c r="U74" s="460"/>
      <c r="V74" s="461"/>
      <c r="W74" s="440"/>
      <c r="X74" s="441"/>
      <c r="Y74" s="452"/>
      <c r="Z74" s="453"/>
      <c r="AA74" s="448"/>
      <c r="AB74" s="445"/>
      <c r="AC74" s="445"/>
      <c r="AD74" s="440"/>
      <c r="AE74" s="441"/>
      <c r="AF74" s="403"/>
      <c r="AG74" s="404"/>
      <c r="AH74" s="403"/>
      <c r="AI74" s="404"/>
      <c r="AJ74" s="403"/>
      <c r="AK74" s="404"/>
      <c r="AM74" s="75"/>
      <c r="AN74" s="391"/>
      <c r="AO74" s="391"/>
      <c r="AP74" s="391"/>
      <c r="AQ74" s="391"/>
      <c r="AR74" s="391"/>
      <c r="AS74" s="391"/>
      <c r="AT74" s="391"/>
      <c r="AU74" s="391"/>
      <c r="AV74" s="392"/>
      <c r="AW74" s="182"/>
    </row>
    <row r="75" spans="1:49" ht="14.25" customHeight="1" x14ac:dyDescent="0.3">
      <c r="A75" s="206"/>
      <c r="B75" s="71"/>
      <c r="C75" s="436"/>
      <c r="D75" s="436"/>
      <c r="E75" s="436"/>
      <c r="F75" s="436"/>
      <c r="G75" s="436"/>
      <c r="H75" s="436"/>
      <c r="I75" s="436"/>
      <c r="J75" s="436"/>
      <c r="K75" s="436"/>
      <c r="L75" s="437"/>
      <c r="M75" s="226"/>
      <c r="N75" s="72"/>
      <c r="O75" s="442"/>
      <c r="P75" s="443"/>
      <c r="Q75" s="442"/>
      <c r="R75" s="467"/>
      <c r="S75" s="443"/>
      <c r="T75" s="462"/>
      <c r="U75" s="463"/>
      <c r="V75" s="464"/>
      <c r="W75" s="442"/>
      <c r="X75" s="443"/>
      <c r="Y75" s="454"/>
      <c r="Z75" s="455"/>
      <c r="AA75" s="449"/>
      <c r="AB75" s="446"/>
      <c r="AC75" s="446"/>
      <c r="AD75" s="442"/>
      <c r="AE75" s="443"/>
      <c r="AF75" s="405"/>
      <c r="AG75" s="406"/>
      <c r="AH75" s="405"/>
      <c r="AI75" s="406"/>
      <c r="AJ75" s="405"/>
      <c r="AK75" s="406"/>
      <c r="AM75" s="75"/>
      <c r="AN75" s="391"/>
      <c r="AO75" s="391"/>
      <c r="AP75" s="391"/>
      <c r="AQ75" s="391"/>
      <c r="AR75" s="391"/>
      <c r="AS75" s="391"/>
      <c r="AT75" s="391"/>
      <c r="AU75" s="391"/>
      <c r="AV75" s="392"/>
      <c r="AW75" s="182"/>
    </row>
    <row r="76" spans="1:49" ht="15.75" customHeight="1" x14ac:dyDescent="0.3">
      <c r="A76" s="181"/>
      <c r="B76" s="72"/>
      <c r="C76" s="72"/>
      <c r="D76" s="72"/>
      <c r="E76" s="72"/>
      <c r="F76" s="72"/>
      <c r="G76" s="72"/>
      <c r="H76" s="72"/>
      <c r="I76" s="72"/>
      <c r="J76" s="72"/>
      <c r="K76" s="72"/>
      <c r="L76" s="72"/>
      <c r="M76" s="226"/>
      <c r="N76" s="72"/>
      <c r="O76" s="427"/>
      <c r="P76" s="428"/>
      <c r="Q76" s="427"/>
      <c r="R76" s="508"/>
      <c r="S76" s="428"/>
      <c r="T76" s="427"/>
      <c r="U76" s="508"/>
      <c r="V76" s="428"/>
      <c r="W76" s="427"/>
      <c r="X76" s="428"/>
      <c r="Y76" s="427"/>
      <c r="Z76" s="428"/>
      <c r="AA76" s="139"/>
      <c r="AB76" s="212" t="str">
        <f>IF(W76="Water &amp; Sewer", VLOOKUP(AC76,'Meter Schedule List'!$Q$54:$AM$62,18,FALSE),IF(W76="Water Only",VLOOKUP(AC76,'Meter Schedule List'!$Q$54:$AM$62,18,FALSE),IF(W76="Sub-meter",VLOOKUP(AC76,'Meter Schedule List'!$Q$54:$AM$62,20,FALSE),IF(W76="",""))))</f>
        <v/>
      </c>
      <c r="AC76" s="371" t="str">
        <f>IF(AND(AA76&gt;'Meter Schedule List'!$AC$54,AA76&lt;='Meter Schedule List'!$AD$54),"5/8-Inch",IF(AND(AA76&gt;'Meter Schedule List'!$AC$55,AA76&lt;='Meter Schedule List'!$AD$55),"1-Inch",IF(AND(AA76&gt;'Meter Schedule List'!$AC$56,AA76&lt;='Meter Schedule List'!$AD$56),"1.5-Inch",IF(AND(AA76&gt;'Meter Schedule List'!$AC$57,AA76&lt;='Meter Schedule List'!$AD$57),"2-Inch",IF(AND(AA76&gt;'Meter Schedule List'!$AC$58,AA76&lt;='Meter Schedule List'!$AD$58),"3-Inch",IF(AND(AA76&gt;'Meter Schedule List'!$AC$59,AA76&lt;='Meter Schedule List'!$AD$59),"4-Inch",IF(AND(AA76&gt;'Meter Schedule List'!$AC$60,AA76&lt;='Meter Schedule List'!$AD$60),"6-Inch",IF(AND(AA76&gt;'Meter Schedule List'!$AC$61,AA76&lt;='Meter Schedule List'!$AD$61),"8-Inch",IF(AND(AA76&gt;'Meter Schedule List'!$AC$62,AA76&lt;='Meter Schedule List'!$AD$62),"10-Inch",IF(AA76="",""))))))))))</f>
        <v/>
      </c>
      <c r="AD76" s="468" t="str">
        <f>IF(AND(W76='Meter Schedule List'!$S$54),VLOOKUP(AC76,'Meter Schedule List'!$Q$54:$AD$62,2,FALSE),IF(AND(W76='Meter Schedule List'!$T$54),VLOOKUP(AC76,'Meter Schedule List'!$Q$54:$AD$62,2,FALSE),IF(AND(W76='Meter Schedule List'!$V$54),VLOOKUP(AC76,'Meter Schedule List'!$Q$54:$AD$62,2,FALSE),IF(AND(W76='Meter Schedule List'!$U$54),VLOOKUP(AC76,'Meter Schedule List'!$Q$63:$AD$69,2,FALSE),IF(W76="","")))))</f>
        <v/>
      </c>
      <c r="AE76" s="469"/>
      <c r="AF76" s="393" t="str">
        <f>IF(AND(W76='Meter Schedule List'!$AL$52),VLOOKUP(AC76,'Meter Schedule List'!$Q$53:$AO$69,22,FALSE)*AB76,IF(AND(W76='Meter Schedule List'!$AM$52),VLOOKUP(AC76,'Meter Schedule List'!$Q$53:$AO$69,23,FALSE)*AB76,IF(AND(W76='Meter Schedule List'!$AN$52),VLOOKUP(AC76,'Meter Schedule List'!$Q$53:$AO$69,24,FALSE)*AB76,IF(AND(W76='Meter Schedule List'!$AO$52),VLOOKUP(AC76,'Meter Schedule List'!$Q$53:$AO$69,25,FALSE),IF(AC76="","")))))</f>
        <v/>
      </c>
      <c r="AG76" s="394"/>
      <c r="AH76" s="393" t="str">
        <f>IF(AND(W76='Meter Schedule List'!$AS$52),VLOOKUP(AC76,'Meter Schedule List'!$Q$53:$AV$69,29,FALSE)*AB76,IF(AND(W76='Meter Schedule List'!$AT$52),VLOOKUP(AC76,'Meter Schedule List'!$Q$53:$AV$69,30,FALSE)*AB76,IF(AND(W76='Meter Schedule List'!$AU$52),VLOOKUP(AC76,'Meter Schedule List'!$Q$53:$AV$69,31,FALSE)*AB76,IF(AND(W76='Meter Schedule List'!$AV$52),VLOOKUP(AC76,'Meter Schedule List'!$Q$53:$AV$69,32,FALSE),IF(AC76="","")))))</f>
        <v/>
      </c>
      <c r="AI76" s="394"/>
      <c r="AJ76" s="393" t="str">
        <f>IF(AND(W76='Meter Schedule List'!$AZ$52),VLOOKUP(AC76,'Meter Schedule List'!$Q$53:$BC$69,36,FALSE)*AB76,IF(AND(W76='Meter Schedule List'!$BA$52),VLOOKUP(AC76,'Meter Schedule List'!$Q$53:$BC$69,37,FALSE)*AB76,IF(AND(W76='Meter Schedule List'!$BB$52),VLOOKUP(AC76,'Meter Schedule List'!$Q$53:$BC$69,38,FALSE)*AB76,IF(AND(W76='Meter Schedule List'!$BC$52),VLOOKUP(AC76,'Meter Schedule List'!$Q$53:$BC$69,39,FALSE),IF(AC76="","")))))</f>
        <v/>
      </c>
      <c r="AK76" s="394"/>
      <c r="AM76" s="115"/>
      <c r="AN76" s="71"/>
      <c r="AO76" s="71"/>
      <c r="AP76" s="71"/>
      <c r="AQ76" s="71"/>
      <c r="AR76" s="71"/>
      <c r="AS76" s="71"/>
      <c r="AT76" s="71"/>
      <c r="AU76" s="71"/>
      <c r="AV76" s="88"/>
      <c r="AW76" s="182"/>
    </row>
    <row r="77" spans="1:49" ht="15.75" customHeight="1" x14ac:dyDescent="0.3">
      <c r="A77" s="237"/>
      <c r="B77" s="153"/>
      <c r="C77" s="216" t="s">
        <v>335</v>
      </c>
      <c r="D77" s="244"/>
      <c r="E77" s="159"/>
      <c r="F77" s="159"/>
      <c r="G77" s="159"/>
      <c r="H77" s="159"/>
      <c r="I77" s="119"/>
      <c r="J77" s="119"/>
      <c r="K77" s="119"/>
      <c r="L77" s="153"/>
      <c r="M77" s="226"/>
      <c r="N77" s="72"/>
      <c r="O77" s="427"/>
      <c r="P77" s="428"/>
      <c r="Q77" s="427"/>
      <c r="R77" s="508"/>
      <c r="S77" s="428"/>
      <c r="T77" s="427"/>
      <c r="U77" s="508"/>
      <c r="V77" s="428"/>
      <c r="W77" s="427"/>
      <c r="X77" s="428"/>
      <c r="Y77" s="427"/>
      <c r="Z77" s="428"/>
      <c r="AA77" s="140"/>
      <c r="AB77" s="212" t="str">
        <f>IF(W77="Water &amp; Sewer", VLOOKUP(AC77,'Meter Schedule List'!$Q$54:$AM$62,18,FALSE),IF(W77="Water Only",VLOOKUP(AC77,'Meter Schedule List'!$Q$54:$AM$62,18,FALSE),IF(W77="Sub-meter",VLOOKUP(AC77,'Meter Schedule List'!$Q$54:$AM$62,20,FALSE),IF(W77="",""))))</f>
        <v/>
      </c>
      <c r="AC77" s="371" t="str">
        <f>IF(AND(AA77&gt;'Meter Schedule List'!$AC$54,AA77&lt;='Meter Schedule List'!$AD$54),"5/8-Inch",IF(AND(AA77&gt;'Meter Schedule List'!$AC$55,AA77&lt;='Meter Schedule List'!$AD$55),"1-Inch",IF(AND(AA77&gt;'Meter Schedule List'!$AC$56,AA77&lt;='Meter Schedule List'!$AD$56),"1.5-Inch",IF(AND(AA77&gt;'Meter Schedule List'!$AC$57,AA77&lt;='Meter Schedule List'!$AD$57),"2-Inch",IF(AND(AA77&gt;'Meter Schedule List'!$AC$58,AA77&lt;='Meter Schedule List'!$AD$58),"3-Inch",IF(AND(AA77&gt;'Meter Schedule List'!$AC$59,AA77&lt;='Meter Schedule List'!$AD$59),"4-Inch",IF(AND(AA77&gt;'Meter Schedule List'!$AC$60,AA77&lt;='Meter Schedule List'!$AD$60),"6-Inch",IF(AND(AA77&gt;'Meter Schedule List'!$AC$61,AA77&lt;='Meter Schedule List'!$AD$61),"8-Inch",IF(AND(AA77&gt;'Meter Schedule List'!$AC$62,AA77&lt;='Meter Schedule List'!$AD$62),"10-Inch",IF(AA77="",""))))))))))</f>
        <v/>
      </c>
      <c r="AD77" s="468" t="str">
        <f>IF(AND(W77='Meter Schedule List'!$S$54),VLOOKUP(AC77,'Meter Schedule List'!$Q$54:$AD$62,2,FALSE),IF(AND(W77='Meter Schedule List'!$T$54),VLOOKUP(AC77,'Meter Schedule List'!$Q$54:$AD$62,2,FALSE),IF(AND(W77='Meter Schedule List'!$V$54),VLOOKUP(AC77,'Meter Schedule List'!$Q$54:$AD$62,2,FALSE),IF(AND(W77='Meter Schedule List'!$U$54),VLOOKUP(AC77,'Meter Schedule List'!$Q$63:$AD$69,2,FALSE),IF(W77="","")))))</f>
        <v/>
      </c>
      <c r="AE77" s="469"/>
      <c r="AF77" s="393" t="str">
        <f>IF(AND(W77='Meter Schedule List'!$AL$52),VLOOKUP(AC77,'Meter Schedule List'!$Q$53:$AO$69,22,FALSE)*AB77,IF(AND(W77='Meter Schedule List'!$AM$52),VLOOKUP(AC77,'Meter Schedule List'!$Q$53:$AO$69,23,FALSE)*AB77,IF(AND(W77='Meter Schedule List'!$AN$52),VLOOKUP(AC77,'Meter Schedule List'!$Q$53:$AO$69,24,FALSE)*AB77,IF(AND(W77='Meter Schedule List'!$AO$52),VLOOKUP(AC77,'Meter Schedule List'!$Q$53:$AO$69,25,FALSE),IF(AC77="","")))))</f>
        <v/>
      </c>
      <c r="AG77" s="394"/>
      <c r="AH77" s="393" t="str">
        <f>IF(AND(W77='Meter Schedule List'!$AS$52),VLOOKUP(AC77,'Meter Schedule List'!$Q$53:$AV$69,29,FALSE)*AB77,IF(AND(W77='Meter Schedule List'!$AT$52),VLOOKUP(AC77,'Meter Schedule List'!$Q$53:$AV$69,30,FALSE)*AB77,IF(AND(W77='Meter Schedule List'!$AU$52),VLOOKUP(AC77,'Meter Schedule List'!$Q$53:$AV$69,31,FALSE)*AB77,IF(AND(W77='Meter Schedule List'!$AV$52),VLOOKUP(AC77,'Meter Schedule List'!$Q$53:$AV$69,32,FALSE),IF(AC77="","")))))</f>
        <v/>
      </c>
      <c r="AI77" s="394"/>
      <c r="AJ77" s="393" t="str">
        <f>IF(AND(W77='Meter Schedule List'!$AZ$52),VLOOKUP(AC77,'Meter Schedule List'!$Q$53:$BC$69,36,FALSE)*AB77,IF(AND(W77='Meter Schedule List'!$BA$52),VLOOKUP(AC77,'Meter Schedule List'!$Q$53:$BC$69,37,FALSE)*AB77,IF(AND(W77='Meter Schedule List'!$BB$52),VLOOKUP(AC77,'Meter Schedule List'!$Q$53:$BC$69,38,FALSE)*AB77,IF(AND(W77='Meter Schedule List'!$BC$52),VLOOKUP(AC77,'Meter Schedule List'!$Q$53:$BC$69,39,FALSE),IF(AC77="","")))))</f>
        <v/>
      </c>
      <c r="AK77" s="394"/>
      <c r="AP77" s="72"/>
      <c r="AQ77" s="72"/>
      <c r="AR77" s="72"/>
      <c r="AS77" s="72"/>
      <c r="AT77" s="72"/>
      <c r="AU77" s="72"/>
      <c r="AV77" s="72"/>
      <c r="AW77" s="182"/>
    </row>
    <row r="78" spans="1:49" ht="15.75" customHeight="1" x14ac:dyDescent="0.3">
      <c r="A78" s="181"/>
      <c r="B78" s="72"/>
      <c r="C78" s="72"/>
      <c r="D78" s="72"/>
      <c r="E78" s="72"/>
      <c r="F78" s="72"/>
      <c r="G78" s="72"/>
      <c r="H78" s="72"/>
      <c r="I78" s="72"/>
      <c r="J78" s="72"/>
      <c r="K78" s="72"/>
      <c r="L78" s="72"/>
      <c r="M78" s="226"/>
      <c r="N78" s="72"/>
      <c r="O78" s="427"/>
      <c r="P78" s="428"/>
      <c r="Q78" s="427"/>
      <c r="R78" s="508"/>
      <c r="S78" s="428"/>
      <c r="T78" s="427"/>
      <c r="U78" s="508"/>
      <c r="V78" s="428"/>
      <c r="W78" s="427"/>
      <c r="X78" s="428"/>
      <c r="Y78" s="427"/>
      <c r="Z78" s="428"/>
      <c r="AA78" s="140"/>
      <c r="AB78" s="212" t="str">
        <f>IF(W78="Water &amp; Sewer", VLOOKUP(AC78,'Meter Schedule List'!$Q$54:$AM$62,18,FALSE),IF(W78="Water Only",VLOOKUP(AC78,'Meter Schedule List'!$Q$54:$AM$62,18,FALSE),IF(W78="Sub-meter",VLOOKUP(AC78,'Meter Schedule List'!$Q$54:$AM$62,20,FALSE),IF(W78="",""))))</f>
        <v/>
      </c>
      <c r="AC78" s="371" t="str">
        <f>IF(AND(AA78&gt;'Meter Schedule List'!$AC$54,AA78&lt;='Meter Schedule List'!$AD$54),"5/8-Inch",IF(AND(AA78&gt;'Meter Schedule List'!$AC$55,AA78&lt;='Meter Schedule List'!$AD$55),"1-Inch",IF(AND(AA78&gt;'Meter Schedule List'!$AC$56,AA78&lt;='Meter Schedule List'!$AD$56),"1.5-Inch",IF(AND(AA78&gt;'Meter Schedule List'!$AC$57,AA78&lt;='Meter Schedule List'!$AD$57),"2-Inch",IF(AND(AA78&gt;'Meter Schedule List'!$AC$58,AA78&lt;='Meter Schedule List'!$AD$58),"3-Inch",IF(AND(AA78&gt;'Meter Schedule List'!$AC$59,AA78&lt;='Meter Schedule List'!$AD$59),"4-Inch",IF(AND(AA78&gt;'Meter Schedule List'!$AC$60,AA78&lt;='Meter Schedule List'!$AD$60),"6-Inch",IF(AND(AA78&gt;'Meter Schedule List'!$AC$61,AA78&lt;='Meter Schedule List'!$AD$61),"8-Inch",IF(AND(AA78&gt;'Meter Schedule List'!$AC$62,AA78&lt;='Meter Schedule List'!$AD$62),"10-Inch",IF(AA78="",""))))))))))</f>
        <v/>
      </c>
      <c r="AD78" s="468" t="str">
        <f>IF(AND(W78='Meter Schedule List'!$S$54),VLOOKUP(AC78,'Meter Schedule List'!$Q$54:$AD$62,2,FALSE),IF(AND(W78='Meter Schedule List'!$T$54),VLOOKUP(AC78,'Meter Schedule List'!$Q$54:$AD$62,2,FALSE),IF(AND(W78='Meter Schedule List'!$V$54),VLOOKUP(AC78,'Meter Schedule List'!$Q$54:$AD$62,2,FALSE),IF(AND(W78='Meter Schedule List'!$U$54),VLOOKUP(AC78,'Meter Schedule List'!$Q$63:$AD$69,2,FALSE),IF(W78="","")))))</f>
        <v/>
      </c>
      <c r="AE78" s="469"/>
      <c r="AF78" s="393" t="str">
        <f>IF(AND(W78='Meter Schedule List'!$AL$52),VLOOKUP(AC78,'Meter Schedule List'!$Q$53:$AO$69,22,FALSE)*AB78,IF(AND(W78='Meter Schedule List'!$AM$52),VLOOKUP(AC78,'Meter Schedule List'!$Q$53:$AO$69,23,FALSE)*AB78,IF(AND(W78='Meter Schedule List'!$AN$52),VLOOKUP(AC78,'Meter Schedule List'!$Q$53:$AO$69,24,FALSE)*AB78,IF(AND(W78='Meter Schedule List'!$AO$52),VLOOKUP(AC78,'Meter Schedule List'!$Q$53:$AO$69,25,FALSE),IF(AC78="","")))))</f>
        <v/>
      </c>
      <c r="AG78" s="394"/>
      <c r="AH78" s="393" t="str">
        <f>IF(AND(W78='Meter Schedule List'!$AS$52),VLOOKUP(AC78,'Meter Schedule List'!$Q$53:$AV$69,29,FALSE)*AB78,IF(AND(W78='Meter Schedule List'!$AT$52),VLOOKUP(AC78,'Meter Schedule List'!$Q$53:$AV$69,30,FALSE)*AB78,IF(AND(W78='Meter Schedule List'!$AU$52),VLOOKUP(AC78,'Meter Schedule List'!$Q$53:$AV$69,31,FALSE)*AB78,IF(AND(W78='Meter Schedule List'!$AV$52),VLOOKUP(AC78,'Meter Schedule List'!$Q$53:$AV$69,32,FALSE),IF(AC78="","")))))</f>
        <v/>
      </c>
      <c r="AI78" s="394"/>
      <c r="AJ78" s="393" t="str">
        <f>IF(AND(W78='Meter Schedule List'!$AZ$52),VLOOKUP(AC78,'Meter Schedule List'!$Q$53:$BC$69,36,FALSE)*AB78,IF(AND(W78='Meter Schedule List'!$BA$52),VLOOKUP(AC78,'Meter Schedule List'!$Q$53:$BC$69,37,FALSE)*AB78,IF(AND(W78='Meter Schedule List'!$BB$52),VLOOKUP(AC78,'Meter Schedule List'!$Q$53:$BC$69,38,FALSE)*AB78,IF(AND(W78='Meter Schedule List'!$BC$52),VLOOKUP(AC78,'Meter Schedule List'!$Q$53:$BC$69,39,FALSE),IF(AC78="","")))))</f>
        <v/>
      </c>
      <c r="AK78" s="394"/>
      <c r="AP78" s="72"/>
      <c r="AQ78" s="72"/>
      <c r="AR78" s="72"/>
      <c r="AS78" s="72"/>
      <c r="AT78" s="72"/>
      <c r="AU78" s="72"/>
      <c r="AV78" s="72"/>
      <c r="AW78" s="182"/>
    </row>
    <row r="79" spans="1:49" ht="15.75" customHeight="1" x14ac:dyDescent="0.3">
      <c r="A79" s="181"/>
      <c r="B79" s="292" t="s">
        <v>298</v>
      </c>
      <c r="C79" s="114"/>
      <c r="D79" s="114"/>
      <c r="E79" s="114"/>
      <c r="F79" s="114"/>
      <c r="G79" s="114"/>
      <c r="H79" s="114"/>
      <c r="I79" s="114"/>
      <c r="J79" s="114"/>
      <c r="K79" s="114"/>
      <c r="L79" s="114"/>
      <c r="M79" s="226"/>
      <c r="N79" s="72"/>
      <c r="O79" s="427"/>
      <c r="P79" s="428"/>
      <c r="Q79" s="427"/>
      <c r="R79" s="508"/>
      <c r="S79" s="428"/>
      <c r="T79" s="427"/>
      <c r="U79" s="508"/>
      <c r="V79" s="428"/>
      <c r="W79" s="427"/>
      <c r="X79" s="428"/>
      <c r="Y79" s="427"/>
      <c r="Z79" s="428"/>
      <c r="AA79" s="140"/>
      <c r="AB79" s="212" t="str">
        <f>IF(W79="Water &amp; Sewer", VLOOKUP(AC79,'Meter Schedule List'!$Q$54:$AM$62,18,FALSE),IF(W79="Water Only",VLOOKUP(AC79,'Meter Schedule List'!$Q$54:$AM$62,18,FALSE),IF(W79="Sub-meter",VLOOKUP(AC79,'Meter Schedule List'!$Q$54:$AM$62,20,FALSE),IF(W79="",""))))</f>
        <v/>
      </c>
      <c r="AC79" s="371" t="str">
        <f>IF(AND(AA79&gt;'Meter Schedule List'!$AC$54,AA79&lt;='Meter Schedule List'!$AD$54),"5/8-Inch",IF(AND(AA79&gt;'Meter Schedule List'!$AC$55,AA79&lt;='Meter Schedule List'!$AD$55),"1-Inch",IF(AND(AA79&gt;'Meter Schedule List'!$AC$56,AA79&lt;='Meter Schedule List'!$AD$56),"1.5-Inch",IF(AND(AA79&gt;'Meter Schedule List'!$AC$57,AA79&lt;='Meter Schedule List'!$AD$57),"2-Inch",IF(AND(AA79&gt;'Meter Schedule List'!$AC$58,AA79&lt;='Meter Schedule List'!$AD$58),"3-Inch",IF(AND(AA79&gt;'Meter Schedule List'!$AC$59,AA79&lt;='Meter Schedule List'!$AD$59),"4-Inch",IF(AND(AA79&gt;'Meter Schedule List'!$AC$60,AA79&lt;='Meter Schedule List'!$AD$60),"6-Inch",IF(AND(AA79&gt;'Meter Schedule List'!$AC$61,AA79&lt;='Meter Schedule List'!$AD$61),"8-Inch",IF(AND(AA79&gt;'Meter Schedule List'!$AC$62,AA79&lt;='Meter Schedule List'!$AD$62),"10-Inch",IF(AA79="",""))))))))))</f>
        <v/>
      </c>
      <c r="AD79" s="468" t="str">
        <f>IF(AND(W79='Meter Schedule List'!$S$54),VLOOKUP(AC79,'Meter Schedule List'!$Q$54:$AD$62,2,FALSE),IF(AND(W79='Meter Schedule List'!$T$54),VLOOKUP(AC79,'Meter Schedule List'!$Q$54:$AD$62,2,FALSE),IF(AND(W79='Meter Schedule List'!$V$54),VLOOKUP(AC79,'Meter Schedule List'!$Q$54:$AD$62,2,FALSE),IF(AND(W79='Meter Schedule List'!$U$54),VLOOKUP(AC79,'Meter Schedule List'!$Q$63:$AD$69,2,FALSE),IF(W79="","")))))</f>
        <v/>
      </c>
      <c r="AE79" s="469"/>
      <c r="AF79" s="393" t="str">
        <f>IF(AND(W79='Meter Schedule List'!$AL$52),VLOOKUP(AC79,'Meter Schedule List'!$Q$53:$AO$69,22,FALSE)*AB79,IF(AND(W79='Meter Schedule List'!$AM$52),VLOOKUP(AC79,'Meter Schedule List'!$Q$53:$AO$69,23,FALSE)*AB79,IF(AND(W79='Meter Schedule List'!$AN$52),VLOOKUP(AC79,'Meter Schedule List'!$Q$53:$AO$69,24,FALSE)*AB79,IF(AND(W79='Meter Schedule List'!$AO$52),VLOOKUP(AC79,'Meter Schedule List'!$Q$53:$AO$69,25,FALSE),IF(AC79="","")))))</f>
        <v/>
      </c>
      <c r="AG79" s="394"/>
      <c r="AH79" s="393" t="str">
        <f>IF(AND(W79='Meter Schedule List'!$AS$52),VLOOKUP(AC79,'Meter Schedule List'!$Q$53:$AV$69,29,FALSE)*AB79,IF(AND(W79='Meter Schedule List'!$AT$52),VLOOKUP(AC79,'Meter Schedule List'!$Q$53:$AV$69,30,FALSE)*AB79,IF(AND(W79='Meter Schedule List'!$AU$52),VLOOKUP(AC79,'Meter Schedule List'!$Q$53:$AV$69,31,FALSE)*AB79,IF(AND(W79='Meter Schedule List'!$AV$52),VLOOKUP(AC79,'Meter Schedule List'!$Q$53:$AV$69,32,FALSE),IF(AC79="","")))))</f>
        <v/>
      </c>
      <c r="AI79" s="394"/>
      <c r="AJ79" s="393" t="str">
        <f>IF(AND(W79='Meter Schedule List'!$AZ$52),VLOOKUP(AC79,'Meter Schedule List'!$Q$53:$BC$69,36,FALSE)*AB79,IF(AND(W79='Meter Schedule List'!$BA$52),VLOOKUP(AC79,'Meter Schedule List'!$Q$53:$BC$69,37,FALSE)*AB79,IF(AND(W79='Meter Schedule List'!$BB$52),VLOOKUP(AC79,'Meter Schedule List'!$Q$53:$BC$69,38,FALSE)*AB79,IF(AND(W79='Meter Schedule List'!$BC$52),VLOOKUP(AC79,'Meter Schedule List'!$Q$53:$BC$69,39,FALSE),IF(AC79="","")))))</f>
        <v/>
      </c>
      <c r="AK79" s="394"/>
      <c r="AP79" s="72"/>
      <c r="AQ79" s="72"/>
      <c r="AR79" s="72"/>
      <c r="AS79" s="72"/>
      <c r="AT79" s="72"/>
      <c r="AU79" s="72"/>
      <c r="AV79" s="72"/>
      <c r="AW79" s="182"/>
    </row>
    <row r="80" spans="1:49" ht="14.25" customHeight="1" x14ac:dyDescent="0.3">
      <c r="A80" s="181"/>
      <c r="B80" s="292" t="s">
        <v>299</v>
      </c>
      <c r="C80" s="114"/>
      <c r="D80" s="114"/>
      <c r="E80" s="114"/>
      <c r="F80" s="114"/>
      <c r="G80" s="114"/>
      <c r="H80" s="114"/>
      <c r="I80" s="114"/>
      <c r="J80" s="114"/>
      <c r="K80" s="114"/>
      <c r="L80" s="114"/>
      <c r="M80" s="226"/>
      <c r="N80" s="72"/>
      <c r="O80" s="427"/>
      <c r="P80" s="428"/>
      <c r="Q80" s="427"/>
      <c r="R80" s="508"/>
      <c r="S80" s="428"/>
      <c r="T80" s="427"/>
      <c r="U80" s="508"/>
      <c r="V80" s="428"/>
      <c r="W80" s="427"/>
      <c r="X80" s="428"/>
      <c r="Y80" s="427"/>
      <c r="Z80" s="428"/>
      <c r="AA80" s="169"/>
      <c r="AB80" s="212" t="str">
        <f>IF(W80="Water &amp; Sewer", VLOOKUP(AC80,'Meter Schedule List'!$Q$54:$AM$62,18,FALSE),IF(W80="Water Only",VLOOKUP(AC80,'Meter Schedule List'!$Q$54:$AM$62,18,FALSE),IF(W80="Sub-meter",VLOOKUP(AC80,'Meter Schedule List'!$Q$54:$AM$62,20,FALSE),IF(W80="",""))))</f>
        <v/>
      </c>
      <c r="AC80" s="371" t="str">
        <f>IF(AND(AA80&gt;'Meter Schedule List'!$AC$54,AA80&lt;='Meter Schedule List'!$AD$54),"5/8-Inch",IF(AND(AA80&gt;'Meter Schedule List'!$AC$55,AA80&lt;='Meter Schedule List'!$AD$55),"1-Inch",IF(AND(AA80&gt;'Meter Schedule List'!$AC$56,AA80&lt;='Meter Schedule List'!$AD$56),"1.5-Inch",IF(AND(AA80&gt;'Meter Schedule List'!$AC$57,AA80&lt;='Meter Schedule List'!$AD$57),"2-Inch",IF(AND(AA80&gt;'Meter Schedule List'!$AC$58,AA80&lt;='Meter Schedule List'!$AD$58),"3-Inch",IF(AND(AA80&gt;'Meter Schedule List'!$AC$59,AA80&lt;='Meter Schedule List'!$AD$59),"4-Inch",IF(AND(AA80&gt;'Meter Schedule List'!$AC$60,AA80&lt;='Meter Schedule List'!$AD$60),"6-Inch",IF(AND(AA80&gt;'Meter Schedule List'!$AC$61,AA80&lt;='Meter Schedule List'!$AD$61),"8-Inch",IF(AND(AA80&gt;'Meter Schedule List'!$AC$62,AA80&lt;='Meter Schedule List'!$AD$62),"10-Inch",IF(AA80="",""))))))))))</f>
        <v/>
      </c>
      <c r="AD80" s="468" t="str">
        <f>IF(AND(W80='Meter Schedule List'!$S$54),VLOOKUP(AC80,'Meter Schedule List'!$Q$54:$AD$62,2,FALSE),IF(AND(W80='Meter Schedule List'!$T$54),VLOOKUP(AC80,'Meter Schedule List'!$Q$54:$AD$62,2,FALSE),IF(AND(W80='Meter Schedule List'!$V$54),VLOOKUP(AC80,'Meter Schedule List'!$Q$54:$AD$62,2,FALSE),IF(AND(W80='Meter Schedule List'!$U$54),VLOOKUP(AC80,'Meter Schedule List'!$Q$63:$AD$69,2,FALSE),IF(W80="","")))))</f>
        <v/>
      </c>
      <c r="AE80" s="469"/>
      <c r="AF80" s="393" t="str">
        <f>IF(AND(W80='Meter Schedule List'!$AL$52),VLOOKUP(AC80,'Meter Schedule List'!$Q$53:$AO$69,22,FALSE)*AB80,IF(AND(W80='Meter Schedule List'!$AM$52),VLOOKUP(AC80,'Meter Schedule List'!$Q$53:$AO$69,23,FALSE)*AB80,IF(AND(W80='Meter Schedule List'!$AN$52),VLOOKUP(AC80,'Meter Schedule List'!$Q$53:$AO$69,24,FALSE)*AB80,IF(AND(W80='Meter Schedule List'!$AO$52),VLOOKUP(AC80,'Meter Schedule List'!$Q$53:$AO$69,25,FALSE),IF(AC80="","")))))</f>
        <v/>
      </c>
      <c r="AG80" s="394"/>
      <c r="AH80" s="393" t="str">
        <f>IF(AND(W80='Meter Schedule List'!$AS$52),VLOOKUP(AC80,'Meter Schedule List'!$Q$53:$AV$69,29,FALSE)*AB80,IF(AND(W80='Meter Schedule List'!$AT$52),VLOOKUP(AC80,'Meter Schedule List'!$Q$53:$AV$69,30,FALSE)*AB80,IF(AND(W80='Meter Schedule List'!$AU$52),VLOOKUP(AC80,'Meter Schedule List'!$Q$53:$AV$69,31,FALSE)*AB80,IF(AND(W80='Meter Schedule List'!$AV$52),VLOOKUP(AC80,'Meter Schedule List'!$Q$53:$AV$69,32,FALSE),IF(AC80="","")))))</f>
        <v/>
      </c>
      <c r="AI80" s="394"/>
      <c r="AJ80" s="393" t="str">
        <f>IF(AND(W80='Meter Schedule List'!$AZ$52),VLOOKUP(AC80,'Meter Schedule List'!$Q$53:$BC$69,36,FALSE)*AB80,IF(AND(W80='Meter Schedule List'!$BA$52),VLOOKUP(AC80,'Meter Schedule List'!$Q$53:$BC$69,37,FALSE)*AB80,IF(AND(W80='Meter Schedule List'!$BB$52),VLOOKUP(AC80,'Meter Schedule List'!$Q$53:$BC$69,38,FALSE)*AB80,IF(AND(W80='Meter Schedule List'!$BC$52),VLOOKUP(AC80,'Meter Schedule List'!$Q$53:$BC$69,39,FALSE),IF(AC80="","")))))</f>
        <v/>
      </c>
      <c r="AK80" s="394"/>
      <c r="AP80" s="72"/>
      <c r="AQ80" s="72"/>
      <c r="AR80" s="72"/>
      <c r="AS80" s="72"/>
      <c r="AT80" s="72"/>
      <c r="AU80" s="72"/>
      <c r="AV80" s="72"/>
      <c r="AW80" s="182"/>
    </row>
    <row r="81" spans="1:49" ht="15.75" customHeight="1" thickBot="1" x14ac:dyDescent="0.35">
      <c r="A81" s="181"/>
      <c r="B81" s="146"/>
      <c r="C81" s="146"/>
      <c r="D81" s="146"/>
      <c r="E81" s="146"/>
      <c r="F81" s="146"/>
      <c r="G81" s="146"/>
      <c r="H81" s="146"/>
      <c r="I81" s="146"/>
      <c r="J81" s="146"/>
      <c r="K81" s="164"/>
      <c r="L81" s="146"/>
      <c r="M81" s="226"/>
      <c r="N81" s="72"/>
      <c r="O81" s="427"/>
      <c r="P81" s="428"/>
      <c r="Q81" s="427"/>
      <c r="R81" s="508"/>
      <c r="S81" s="428"/>
      <c r="T81" s="427"/>
      <c r="U81" s="508"/>
      <c r="V81" s="428"/>
      <c r="W81" s="427"/>
      <c r="X81" s="428"/>
      <c r="Y81" s="427"/>
      <c r="Z81" s="428"/>
      <c r="AA81" s="170"/>
      <c r="AB81" s="212" t="str">
        <f>IF(W81="Water &amp; Sewer", VLOOKUP(AC81,'Meter Schedule List'!$Q$54:$AM$62,18,FALSE),IF(W81="Water Only",VLOOKUP(AC81,'Meter Schedule List'!$Q$54:$AM$62,18,FALSE),IF(W81="Sub-meter",VLOOKUP(AC81,'Meter Schedule List'!$Q$54:$AM$62,20,FALSE),IF(W81="",""))))</f>
        <v/>
      </c>
      <c r="AC81" s="371" t="str">
        <f>IF(AND(AA81&gt;'Meter Schedule List'!$AC$54,AA81&lt;='Meter Schedule List'!$AD$54),"5/8-Inch",IF(AND(AA81&gt;'Meter Schedule List'!$AC$55,AA81&lt;='Meter Schedule List'!$AD$55),"1-Inch",IF(AND(AA81&gt;'Meter Schedule List'!$AC$56,AA81&lt;='Meter Schedule List'!$AD$56),"1.5-Inch",IF(AND(AA81&gt;'Meter Schedule List'!$AC$57,AA81&lt;='Meter Schedule List'!$AD$57),"2-Inch",IF(AND(AA81&gt;'Meter Schedule List'!$AC$58,AA81&lt;='Meter Schedule List'!$AD$58),"3-Inch",IF(AND(AA81&gt;'Meter Schedule List'!$AC$59,AA81&lt;='Meter Schedule List'!$AD$59),"4-Inch",IF(AND(AA81&gt;'Meter Schedule List'!$AC$60,AA81&lt;='Meter Schedule List'!$AD$60),"6-Inch",IF(AND(AA81&gt;'Meter Schedule List'!$AC$61,AA81&lt;='Meter Schedule List'!$AD$61),"8-Inch",IF(AND(AA81&gt;'Meter Schedule List'!$AC$62,AA81&lt;='Meter Schedule List'!$AD$62),"10-Inch",IF(AA81="",""))))))))))</f>
        <v/>
      </c>
      <c r="AD81" s="468" t="str">
        <f>IF(AND(W81='Meter Schedule List'!$S$54),VLOOKUP(AC81,'Meter Schedule List'!$Q$54:$AD$62,2,FALSE),IF(AND(W81='Meter Schedule List'!$T$54),VLOOKUP(AC81,'Meter Schedule List'!$Q$54:$AD$62,2,FALSE),IF(AND(W81='Meter Schedule List'!$V$54),VLOOKUP(AC81,'Meter Schedule List'!$Q$54:$AD$62,2,FALSE),IF(AND(W81='Meter Schedule List'!$U$54),VLOOKUP(AC81,'Meter Schedule List'!$Q$63:$AD$69,2,FALSE),IF(W81="","")))))</f>
        <v/>
      </c>
      <c r="AE81" s="469"/>
      <c r="AF81" s="393" t="str">
        <f>IF(AND(W81='Meter Schedule List'!$AL$52),VLOOKUP(AC81,'Meter Schedule List'!$Q$53:$AO$69,22,FALSE)*AB81,IF(AND(W81='Meter Schedule List'!$AM$52),VLOOKUP(AC81,'Meter Schedule List'!$Q$53:$AO$69,23,FALSE)*AB81,IF(AND(W81='Meter Schedule List'!$AN$52),VLOOKUP(AC81,'Meter Schedule List'!$Q$53:$AO$69,24,FALSE)*AB81,IF(AND(W81='Meter Schedule List'!$AO$52),VLOOKUP(AC81,'Meter Schedule List'!$Q$53:$AO$69,25,FALSE),IF(AC81="","")))))</f>
        <v/>
      </c>
      <c r="AG81" s="394"/>
      <c r="AH81" s="393" t="str">
        <f>IF(AND(W81='Meter Schedule List'!$AS$52),VLOOKUP(AC81,'Meter Schedule List'!$Q$53:$AV$69,29,FALSE)*AB81,IF(AND(W81='Meter Schedule List'!$AT$52),VLOOKUP(AC81,'Meter Schedule List'!$Q$53:$AV$69,30,FALSE)*AB81,IF(AND(W81='Meter Schedule List'!$AU$52),VLOOKUP(AC81,'Meter Schedule List'!$Q$53:$AV$69,31,FALSE)*AB81,IF(AND(W81='Meter Schedule List'!$AV$52),VLOOKUP(AC81,'Meter Schedule List'!$Q$53:$AV$69,32,FALSE),IF(AC81="","")))))</f>
        <v/>
      </c>
      <c r="AI81" s="394"/>
      <c r="AJ81" s="393" t="str">
        <f>IF(AND(W81='Meter Schedule List'!$AZ$52),VLOOKUP(AC81,'Meter Schedule List'!$Q$53:$BC$69,36,FALSE)*AB81,IF(AND(W81='Meter Schedule List'!$BA$52),VLOOKUP(AC81,'Meter Schedule List'!$Q$53:$BC$69,37,FALSE)*AB81,IF(AND(W81='Meter Schedule List'!$BB$52),VLOOKUP(AC81,'Meter Schedule List'!$Q$53:$BC$69,38,FALSE)*AB81,IF(AND(W81='Meter Schedule List'!$BC$52),VLOOKUP(AC81,'Meter Schedule List'!$Q$53:$BC$69,39,FALSE),IF(AC81="","")))))</f>
        <v/>
      </c>
      <c r="AK81" s="394"/>
      <c r="AP81" s="72"/>
      <c r="AQ81" s="72"/>
      <c r="AR81" s="72"/>
      <c r="AS81" s="72"/>
      <c r="AT81" s="72"/>
      <c r="AU81" s="72"/>
      <c r="AV81" s="72"/>
      <c r="AW81" s="182"/>
    </row>
    <row r="82" spans="1:49" ht="15.75" customHeight="1" thickTop="1" x14ac:dyDescent="0.3">
      <c r="A82" s="181"/>
      <c r="B82" s="114" t="s">
        <v>262</v>
      </c>
      <c r="C82" s="146"/>
      <c r="D82" s="146"/>
      <c r="E82" s="146"/>
      <c r="F82" s="146"/>
      <c r="G82" s="146"/>
      <c r="H82" s="146"/>
      <c r="I82" s="146"/>
      <c r="J82" s="146"/>
      <c r="K82" s="165"/>
      <c r="L82" s="146"/>
      <c r="M82" s="226"/>
      <c r="N82" s="72"/>
      <c r="O82" s="419"/>
      <c r="P82" s="420"/>
      <c r="Q82" s="531"/>
      <c r="R82" s="532"/>
      <c r="S82" s="533"/>
      <c r="T82" s="534"/>
      <c r="U82" s="534"/>
      <c r="V82" s="535"/>
      <c r="W82" s="536"/>
      <c r="X82" s="536"/>
      <c r="Y82" s="529"/>
      <c r="Z82" s="530"/>
      <c r="AA82" s="170"/>
      <c r="AB82" s="212" t="str">
        <f>IF(W82="Water &amp; Sewer", VLOOKUP(AC82,'Meter Schedule List'!$Q$54:$AM$62,18,FALSE),IF(W82="Water Only",VLOOKUP(AC82,'Meter Schedule List'!$Q$54:$AM$62,18,FALSE),IF(W82="Sub-meter",VLOOKUP(AC82,'Meter Schedule List'!$Q$54:$AM$62,20,FALSE),IF(W82="",""))))</f>
        <v/>
      </c>
      <c r="AC82" s="371" t="str">
        <f>IF(AND(AA82&gt;'Meter Schedule List'!$AC$54,AA82&lt;='Meter Schedule List'!$AD$54),"5/8-Inch",IF(AND(AA82&gt;'Meter Schedule List'!$AC$55,AA82&lt;='Meter Schedule List'!$AD$55),"1-Inch",IF(AND(AA82&gt;'Meter Schedule List'!$AC$56,AA82&lt;='Meter Schedule List'!$AD$56),"1.5-Inch",IF(AND(AA82&gt;'Meter Schedule List'!$AC$57,AA82&lt;='Meter Schedule List'!$AD$57),"2-Inch",IF(AND(AA82&gt;'Meter Schedule List'!$AC$58,AA82&lt;='Meter Schedule List'!$AD$58),"3-Inch",IF(AND(AA82&gt;'Meter Schedule List'!$AC$59,AA82&lt;='Meter Schedule List'!$AD$59),"4-Inch",IF(AND(AA82&gt;'Meter Schedule List'!$AC$60,AA82&lt;='Meter Schedule List'!$AD$60),"6-Inch",IF(AND(AA82&gt;'Meter Schedule List'!$AC$61,AA82&lt;='Meter Schedule List'!$AD$61),"8-Inch",IF(AND(AA82&gt;'Meter Schedule List'!$AC$62,AA82&lt;='Meter Schedule List'!$AD$62),"10-Inch",IF(AA82="",""))))))))))</f>
        <v/>
      </c>
      <c r="AD82" s="468" t="str">
        <f>IF(AND(W82='Meter Schedule List'!$S$54),VLOOKUP(AC82,'Meter Schedule List'!$Q$54:$AD$62,2,FALSE),IF(AND(W82='Meter Schedule List'!$T$54),VLOOKUP(AC82,'Meter Schedule List'!$Q$54:$AD$62,2,FALSE),IF(AND(W82='Meter Schedule List'!$V$54),VLOOKUP(AC82,'Meter Schedule List'!$Q$54:$AD$62,2,FALSE),IF(AND(W82='Meter Schedule List'!$U$54),VLOOKUP(AC82,'Meter Schedule List'!$Q$63:$AD$69,2,FALSE),IF(W82="","")))))</f>
        <v/>
      </c>
      <c r="AE82" s="469"/>
      <c r="AF82" s="393" t="str">
        <f>IF(AND(W82='Meter Schedule List'!$AL$52),VLOOKUP(AC82,'Meter Schedule List'!$Q$53:$AO$69,22,FALSE)*AB82,IF(AND(W82='Meter Schedule List'!$AM$52),VLOOKUP(AC82,'Meter Schedule List'!$Q$53:$AO$69,23,FALSE)*AB82,IF(AND(W82='Meter Schedule List'!$AN$52),VLOOKUP(AC82,'Meter Schedule List'!$Q$53:$AO$69,24,FALSE)*AB82,IF(AND(W82='Meter Schedule List'!$AO$52),VLOOKUP(AC82,'Meter Schedule List'!$Q$53:$AO$69,25,FALSE),IF(AC82="","")))))</f>
        <v/>
      </c>
      <c r="AG82" s="394"/>
      <c r="AH82" s="393" t="str">
        <f>IF(AND(W82='Meter Schedule List'!$AS$52),VLOOKUP(AC82,'Meter Schedule List'!$Q$53:$AV$69,29,FALSE)*AB82,IF(AND(W82='Meter Schedule List'!$AT$52),VLOOKUP(AC82,'Meter Schedule List'!$Q$53:$AV$69,30,FALSE)*AB82,IF(AND(W82='Meter Schedule List'!$AU$52),VLOOKUP(AC82,'Meter Schedule List'!$Q$53:$AV$69,31,FALSE)*AB82,IF(AND(W82='Meter Schedule List'!$AV$52),VLOOKUP(AC82,'Meter Schedule List'!$Q$53:$AV$69,32,FALSE),IF(AC82="","")))))</f>
        <v/>
      </c>
      <c r="AI82" s="394"/>
      <c r="AJ82" s="393" t="str">
        <f>IF(AND(W82='Meter Schedule List'!$AZ$52),VLOOKUP(AC82,'Meter Schedule List'!$Q$53:$BC$69,36,FALSE)*AB82,IF(AND(W82='Meter Schedule List'!$BA$52),VLOOKUP(AC82,'Meter Schedule List'!$Q$53:$BC$69,37,FALSE)*AB82,IF(AND(W82='Meter Schedule List'!$BB$52),VLOOKUP(AC82,'Meter Schedule List'!$Q$53:$BC$69,38,FALSE)*AB82,IF(AND(W82='Meter Schedule List'!$BC$52),VLOOKUP(AC82,'Meter Schedule List'!$Q$53:$BC$69,39,FALSE),IF(AC82="","")))))</f>
        <v/>
      </c>
      <c r="AK82" s="394"/>
      <c r="AP82" s="72"/>
      <c r="AQ82" s="72"/>
      <c r="AR82" s="72"/>
      <c r="AS82" s="363" t="s">
        <v>373</v>
      </c>
      <c r="AT82" s="176"/>
      <c r="AU82" s="176"/>
      <c r="AV82" s="361"/>
    </row>
    <row r="83" spans="1:49" ht="15.75" customHeight="1" x14ac:dyDescent="0.3">
      <c r="A83" s="181"/>
      <c r="B83" s="146"/>
      <c r="C83" s="146"/>
      <c r="D83" s="146"/>
      <c r="E83" s="146"/>
      <c r="F83" s="146"/>
      <c r="G83" s="527"/>
      <c r="H83" s="527"/>
      <c r="I83" s="527"/>
      <c r="J83" s="527"/>
      <c r="K83" s="527"/>
      <c r="L83" s="146"/>
      <c r="M83" s="226"/>
      <c r="N83" s="72"/>
      <c r="O83" s="419"/>
      <c r="P83" s="420"/>
      <c r="Q83" s="531"/>
      <c r="R83" s="532"/>
      <c r="S83" s="533"/>
      <c r="T83" s="534"/>
      <c r="U83" s="534"/>
      <c r="V83" s="535"/>
      <c r="W83" s="536"/>
      <c r="X83" s="536"/>
      <c r="Y83" s="529"/>
      <c r="Z83" s="530"/>
      <c r="AA83" s="170"/>
      <c r="AB83" s="212" t="str">
        <f>IF(W83="Water &amp; Sewer", VLOOKUP(AC83,'Meter Schedule List'!$Q$54:$AM$62,18,FALSE),IF(W83="Water Only",VLOOKUP(AC83,'Meter Schedule List'!$Q$54:$AM$62,18,FALSE),IF(W83="Sub-meter",VLOOKUP(AC83,'Meter Schedule List'!$Q$54:$AM$62,20,FALSE),IF(W83="",""))))</f>
        <v/>
      </c>
      <c r="AC83" s="371" t="str">
        <f>IF(AND(AA83&gt;'Meter Schedule List'!$AC$54,AA83&lt;='Meter Schedule List'!$AD$54),"5/8-Inch",IF(AND(AA83&gt;'Meter Schedule List'!$AC$55,AA83&lt;='Meter Schedule List'!$AD$55),"1-Inch",IF(AND(AA83&gt;'Meter Schedule List'!$AC$56,AA83&lt;='Meter Schedule List'!$AD$56),"1.5-Inch",IF(AND(AA83&gt;'Meter Schedule List'!$AC$57,AA83&lt;='Meter Schedule List'!$AD$57),"2-Inch",IF(AND(AA83&gt;'Meter Schedule List'!$AC$58,AA83&lt;='Meter Schedule List'!$AD$58),"3-Inch",IF(AND(AA83&gt;'Meter Schedule List'!$AC$59,AA83&lt;='Meter Schedule List'!$AD$59),"4-Inch",IF(AND(AA83&gt;'Meter Schedule List'!$AC$60,AA83&lt;='Meter Schedule List'!$AD$60),"6-Inch",IF(AND(AA83&gt;'Meter Schedule List'!$AC$61,AA83&lt;='Meter Schedule List'!$AD$61),"8-Inch",IF(AND(AA83&gt;'Meter Schedule List'!$AC$62,AA83&lt;='Meter Schedule List'!$AD$62),"10-Inch",IF(AA83="",""))))))))))</f>
        <v/>
      </c>
      <c r="AD83" s="468" t="str">
        <f>IF(AND(W83='Meter Schedule List'!$S$54),VLOOKUP(AC83,'Meter Schedule List'!$Q$54:$AD$62,2,FALSE),IF(AND(W83='Meter Schedule List'!$T$54),VLOOKUP(AC83,'Meter Schedule List'!$Q$54:$AD$62,2,FALSE),IF(AND(W83='Meter Schedule List'!$V$54),VLOOKUP(AC83,'Meter Schedule List'!$Q$54:$AD$62,2,FALSE),IF(AND(W83='Meter Schedule List'!$U$54),VLOOKUP(AC83,'Meter Schedule List'!$Q$63:$AD$69,2,FALSE),IF(W83="","")))))</f>
        <v/>
      </c>
      <c r="AE83" s="469"/>
      <c r="AF83" s="393" t="str">
        <f>IF(AND(W83='Meter Schedule List'!$AL$52),VLOOKUP(AC83,'Meter Schedule List'!$Q$53:$AO$69,22,FALSE)*AB83,IF(AND(W83='Meter Schedule List'!$AM$52),VLOOKUP(AC83,'Meter Schedule List'!$Q$53:$AO$69,23,FALSE)*AB83,IF(AND(W83='Meter Schedule List'!$AN$52),VLOOKUP(AC83,'Meter Schedule List'!$Q$53:$AO$69,24,FALSE)*AB83,IF(AND(W83='Meter Schedule List'!$AO$52),VLOOKUP(AC83,'Meter Schedule List'!$Q$53:$AO$69,25,FALSE),IF(AC83="","")))))</f>
        <v/>
      </c>
      <c r="AG83" s="394"/>
      <c r="AH83" s="393" t="str">
        <f>IF(AND(W83='Meter Schedule List'!$AS$52),VLOOKUP(AC83,'Meter Schedule List'!$Q$53:$AV$69,29,FALSE)*AB83,IF(AND(W83='Meter Schedule List'!$AT$52),VLOOKUP(AC83,'Meter Schedule List'!$Q$53:$AV$69,30,FALSE)*AB83,IF(AND(W83='Meter Schedule List'!$AU$52),VLOOKUP(AC83,'Meter Schedule List'!$Q$53:$AV$69,31,FALSE)*AB83,IF(AND(W83='Meter Schedule List'!$AV$52),VLOOKUP(AC83,'Meter Schedule List'!$Q$53:$AV$69,32,FALSE),IF(AC83="","")))))</f>
        <v/>
      </c>
      <c r="AI83" s="394"/>
      <c r="AJ83" s="393" t="str">
        <f>IF(AND(W83='Meter Schedule List'!$AZ$52),VLOOKUP(AC83,'Meter Schedule List'!$Q$53:$BC$69,36,FALSE)*AB83,IF(AND(W83='Meter Schedule List'!$BA$52),VLOOKUP(AC83,'Meter Schedule List'!$Q$53:$BC$69,37,FALSE)*AB83,IF(AND(W83='Meter Schedule List'!$BB$52),VLOOKUP(AC83,'Meter Schedule List'!$Q$53:$BC$69,38,FALSE)*AB83,IF(AND(W83='Meter Schedule List'!$BC$52),VLOOKUP(AC83,'Meter Schedule List'!$Q$53:$BC$69,39,FALSE),IF(AC83="","")))))</f>
        <v/>
      </c>
      <c r="AK83" s="394"/>
      <c r="AP83" s="72"/>
      <c r="AQ83" s="72"/>
      <c r="AR83" s="72"/>
      <c r="AS83" s="181"/>
      <c r="AT83" s="72"/>
      <c r="AU83" s="72"/>
      <c r="AV83" s="182"/>
    </row>
    <row r="84" spans="1:49" ht="15.75" customHeight="1" x14ac:dyDescent="0.3">
      <c r="A84" s="181"/>
      <c r="B84" s="114" t="s">
        <v>263</v>
      </c>
      <c r="C84" s="72"/>
      <c r="D84" s="71"/>
      <c r="E84" s="165"/>
      <c r="F84" s="146"/>
      <c r="G84" s="528"/>
      <c r="H84" s="528"/>
      <c r="I84" s="528"/>
      <c r="J84" s="528"/>
      <c r="K84" s="528"/>
      <c r="L84" s="146"/>
      <c r="M84" s="226"/>
      <c r="N84" s="72"/>
      <c r="O84" s="419"/>
      <c r="P84" s="420"/>
      <c r="Q84" s="419"/>
      <c r="R84" s="421"/>
      <c r="S84" s="420"/>
      <c r="T84" s="534"/>
      <c r="U84" s="534"/>
      <c r="V84" s="535"/>
      <c r="W84" s="536"/>
      <c r="X84" s="536"/>
      <c r="Y84" s="529"/>
      <c r="Z84" s="530"/>
      <c r="AA84" s="170"/>
      <c r="AB84" s="212" t="str">
        <f>IF(W84="Water &amp; Sewer", VLOOKUP(AC84,'Meter Schedule List'!$Q$54:$AM$62,18,FALSE),IF(W84="Water Only",VLOOKUP(AC84,'Meter Schedule List'!$Q$54:$AM$62,18,FALSE),IF(W84="Sub-meter",VLOOKUP(AC84,'Meter Schedule List'!$Q$54:$AM$62,20,FALSE),IF(W84="",""))))</f>
        <v/>
      </c>
      <c r="AC84" s="371" t="str">
        <f>IF(AND(AA84&gt;'Meter Schedule List'!$AC$54,AA84&lt;='Meter Schedule List'!$AD$54),"5/8-Inch",IF(AND(AA84&gt;'Meter Schedule List'!$AC$55,AA84&lt;='Meter Schedule List'!$AD$55),"1-Inch",IF(AND(AA84&gt;'Meter Schedule List'!$AC$56,AA84&lt;='Meter Schedule List'!$AD$56),"1.5-Inch",IF(AND(AA84&gt;'Meter Schedule List'!$AC$57,AA84&lt;='Meter Schedule List'!$AD$57),"2-Inch",IF(AND(AA84&gt;'Meter Schedule List'!$AC$58,AA84&lt;='Meter Schedule List'!$AD$58),"3-Inch",IF(AND(AA84&gt;'Meter Schedule List'!$AC$59,AA84&lt;='Meter Schedule List'!$AD$59),"4-Inch",IF(AND(AA84&gt;'Meter Schedule List'!$AC$60,AA84&lt;='Meter Schedule List'!$AD$60),"6-Inch",IF(AND(AA84&gt;'Meter Schedule List'!$AC$61,AA84&lt;='Meter Schedule List'!$AD$61),"8-Inch",IF(AND(AA84&gt;'Meter Schedule List'!$AC$62,AA84&lt;='Meter Schedule List'!$AD$62),"10-Inch",IF(AA84="",""))))))))))</f>
        <v/>
      </c>
      <c r="AD84" s="468" t="str">
        <f>IF(AND(W84='Meter Schedule List'!$S$54),VLOOKUP(AC84,'Meter Schedule List'!$Q$54:$AD$62,2,FALSE),IF(AND(W84='Meter Schedule List'!$T$54),VLOOKUP(AC84,'Meter Schedule List'!$Q$54:$AD$62,2,FALSE),IF(AND(W84='Meter Schedule List'!$V$54),VLOOKUP(AC84,'Meter Schedule List'!$Q$54:$AD$62,2,FALSE),IF(AND(W84='Meter Schedule List'!$U$54),VLOOKUP(AC84,'Meter Schedule List'!$Q$63:$AD$69,2,FALSE),IF(W84="","")))))</f>
        <v/>
      </c>
      <c r="AE84" s="469"/>
      <c r="AF84" s="393" t="str">
        <f>IF(AND(W84='Meter Schedule List'!$AL$52),VLOOKUP(AC84,'Meter Schedule List'!$Q$53:$AO$69,22,FALSE)*AB84,IF(AND(W84='Meter Schedule List'!$AM$52),VLOOKUP(AC84,'Meter Schedule List'!$Q$53:$AO$69,23,FALSE)*AB84,IF(AND(W84='Meter Schedule List'!$AN$52),VLOOKUP(AC84,'Meter Schedule List'!$Q$53:$AO$69,24,FALSE)*AB84,IF(AND(W84='Meter Schedule List'!$AO$52),VLOOKUP(AC84,'Meter Schedule List'!$Q$53:$AO$69,25,FALSE),IF(AC84="","")))))</f>
        <v/>
      </c>
      <c r="AG84" s="394"/>
      <c r="AH84" s="393" t="str">
        <f>IF(AND(W84='Meter Schedule List'!$AS$52),VLOOKUP(AC84,'Meter Schedule List'!$Q$53:$AV$69,29,FALSE)*AB84,IF(AND(W84='Meter Schedule List'!$AT$52),VLOOKUP(AC84,'Meter Schedule List'!$Q$53:$AV$69,30,FALSE)*AB84,IF(AND(W84='Meter Schedule List'!$AU$52),VLOOKUP(AC84,'Meter Schedule List'!$Q$53:$AV$69,31,FALSE)*AB84,IF(AND(W84='Meter Schedule List'!$AV$52),VLOOKUP(AC84,'Meter Schedule List'!$Q$53:$AV$69,32,FALSE),IF(AC84="","")))))</f>
        <v/>
      </c>
      <c r="AI84" s="394"/>
      <c r="AJ84" s="393" t="str">
        <f>IF(AND(W84='Meter Schedule List'!$AZ$52),VLOOKUP(AC84,'Meter Schedule List'!$Q$53:$BC$69,36,FALSE)*AB84,IF(AND(W84='Meter Schedule List'!$BA$52),VLOOKUP(AC84,'Meter Schedule List'!$Q$53:$BC$69,37,FALSE)*AB84,IF(AND(W84='Meter Schedule List'!$BB$52),VLOOKUP(AC84,'Meter Schedule List'!$Q$53:$BC$69,38,FALSE)*AB84,IF(AND(W84='Meter Schedule List'!$BC$52),VLOOKUP(AC84,'Meter Schedule List'!$Q$53:$BC$69,39,FALSE),IF(AC84="","")))))</f>
        <v/>
      </c>
      <c r="AK84" s="394"/>
      <c r="AP84" s="72"/>
      <c r="AQ84" s="72"/>
      <c r="AR84" s="72"/>
      <c r="AS84" s="181"/>
      <c r="AT84" s="72"/>
      <c r="AU84" s="72"/>
      <c r="AV84" s="182"/>
    </row>
    <row r="85" spans="1:49" ht="15.75" customHeight="1" x14ac:dyDescent="0.3">
      <c r="A85" s="181"/>
      <c r="B85" s="146"/>
      <c r="C85" s="146"/>
      <c r="D85" s="146"/>
      <c r="E85" s="146"/>
      <c r="F85" s="146"/>
      <c r="G85" s="146"/>
      <c r="H85" s="146"/>
      <c r="I85" s="146"/>
      <c r="J85" s="146"/>
      <c r="K85" s="164"/>
      <c r="L85" s="146"/>
      <c r="M85" s="220"/>
      <c r="N85" s="72"/>
      <c r="O85" s="217" t="s">
        <v>317</v>
      </c>
      <c r="P85" s="285">
        <v>1</v>
      </c>
      <c r="Q85" s="285" t="s">
        <v>326</v>
      </c>
      <c r="R85" s="337"/>
      <c r="S85" s="231"/>
      <c r="T85" s="272"/>
      <c r="U85" s="272"/>
      <c r="V85" s="272"/>
      <c r="W85" s="273"/>
      <c r="X85" s="273"/>
      <c r="Y85" s="274"/>
      <c r="Z85" s="274"/>
      <c r="AA85" s="275"/>
      <c r="AB85" s="276"/>
      <c r="AC85" s="276"/>
      <c r="AD85" s="278"/>
      <c r="AE85" s="278"/>
      <c r="AF85" s="231"/>
      <c r="AG85" s="231"/>
      <c r="AH85" s="231"/>
      <c r="AI85" s="231"/>
      <c r="AJ85" s="269"/>
      <c r="AK85" s="270"/>
      <c r="AL85" s="72"/>
      <c r="AM85" s="72"/>
      <c r="AN85" s="72"/>
      <c r="AO85" s="72"/>
      <c r="AP85" s="72"/>
      <c r="AQ85" s="72"/>
      <c r="AR85" s="72"/>
      <c r="AS85" s="181"/>
      <c r="AT85" s="72"/>
      <c r="AU85" s="72"/>
      <c r="AV85" s="182"/>
    </row>
    <row r="86" spans="1:49" x14ac:dyDescent="0.3">
      <c r="A86" s="181"/>
      <c r="B86" s="114" t="s">
        <v>325</v>
      </c>
      <c r="C86" s="146"/>
      <c r="D86" s="146" t="s">
        <v>293</v>
      </c>
      <c r="E86" s="146"/>
      <c r="F86" s="146"/>
      <c r="G86" s="146"/>
      <c r="H86" s="146"/>
      <c r="I86" s="146"/>
      <c r="J86" s="146"/>
      <c r="K86" s="165"/>
      <c r="L86" s="146"/>
      <c r="M86" s="220"/>
      <c r="N86" s="72"/>
      <c r="O86" s="277"/>
      <c r="P86" s="338"/>
      <c r="Q86" s="384" t="s">
        <v>464</v>
      </c>
      <c r="R86" s="385"/>
      <c r="S86" s="72"/>
      <c r="T86" s="72"/>
      <c r="U86" s="72"/>
      <c r="V86" s="72"/>
      <c r="W86" s="72"/>
      <c r="X86" s="72"/>
      <c r="Y86" s="72"/>
      <c r="Z86" s="72"/>
      <c r="AA86" s="72"/>
      <c r="AB86" s="72"/>
      <c r="AC86" s="72"/>
      <c r="AD86" s="72"/>
      <c r="AE86" s="72"/>
      <c r="AF86" s="72"/>
      <c r="AG86" s="72"/>
      <c r="AH86" s="72"/>
      <c r="AI86" s="72"/>
      <c r="AJ86" s="72"/>
      <c r="AK86" s="76"/>
      <c r="AL86" s="72"/>
      <c r="AM86" s="72"/>
      <c r="AN86" s="72"/>
      <c r="AO86" s="72"/>
      <c r="AP86" s="72"/>
      <c r="AQ86" s="72"/>
      <c r="AR86" s="72"/>
      <c r="AS86" s="181"/>
      <c r="AT86" s="72"/>
      <c r="AU86" s="72"/>
      <c r="AV86" s="182"/>
    </row>
    <row r="87" spans="1:49" x14ac:dyDescent="0.3">
      <c r="A87" s="181"/>
      <c r="B87" s="146"/>
      <c r="C87" s="146"/>
      <c r="D87" s="146"/>
      <c r="E87" s="146"/>
      <c r="F87" s="146"/>
      <c r="G87" s="146"/>
      <c r="H87" s="146"/>
      <c r="I87" s="146"/>
      <c r="J87" s="146"/>
      <c r="K87" s="164"/>
      <c r="L87" s="146"/>
      <c r="M87" s="220"/>
      <c r="N87" s="72"/>
      <c r="O87" s="75"/>
      <c r="P87" s="285">
        <v>2</v>
      </c>
      <c r="Q87" s="285" t="s">
        <v>315</v>
      </c>
      <c r="R87" s="339"/>
      <c r="S87" s="72"/>
      <c r="T87" s="72"/>
      <c r="U87" s="72"/>
      <c r="V87" s="72"/>
      <c r="W87" s="72"/>
      <c r="X87" s="72"/>
      <c r="Y87" s="72"/>
      <c r="Z87" s="72"/>
      <c r="AA87" s="72"/>
      <c r="AB87" s="72"/>
      <c r="AC87" s="72"/>
      <c r="AD87" s="72"/>
      <c r="AE87" s="72"/>
      <c r="AF87" s="72"/>
      <c r="AG87" s="72"/>
      <c r="AH87" s="72"/>
      <c r="AI87" s="72"/>
      <c r="AJ87" s="72"/>
      <c r="AK87" s="76"/>
      <c r="AL87" s="72"/>
      <c r="AM87" s="72"/>
      <c r="AN87" s="72"/>
      <c r="AO87" s="72"/>
      <c r="AP87" s="72"/>
      <c r="AQ87" s="72"/>
      <c r="AR87" s="72"/>
      <c r="AS87" s="181"/>
      <c r="AT87" s="72"/>
      <c r="AU87" s="72"/>
      <c r="AV87" s="182"/>
    </row>
    <row r="88" spans="1:49" x14ac:dyDescent="0.3">
      <c r="A88" s="181"/>
      <c r="B88" s="114" t="s">
        <v>264</v>
      </c>
      <c r="C88" s="146"/>
      <c r="D88" s="146" t="s">
        <v>477</v>
      </c>
      <c r="E88" s="146"/>
      <c r="F88" s="146"/>
      <c r="G88" s="146"/>
      <c r="H88" s="146"/>
      <c r="I88" s="146"/>
      <c r="J88" s="146"/>
      <c r="K88" s="165"/>
      <c r="L88" s="146"/>
      <c r="M88" s="220"/>
      <c r="N88" s="72"/>
      <c r="O88" s="75"/>
      <c r="P88" s="285">
        <v>3</v>
      </c>
      <c r="Q88" s="285" t="s">
        <v>463</v>
      </c>
      <c r="R88" s="339"/>
      <c r="S88" s="72"/>
      <c r="T88" s="72"/>
      <c r="U88" s="72"/>
      <c r="V88" s="72"/>
      <c r="W88" s="72"/>
      <c r="X88" s="72"/>
      <c r="Y88" s="72"/>
      <c r="Z88" s="72"/>
      <c r="AA88" s="72"/>
      <c r="AB88" s="72"/>
      <c r="AC88" s="72"/>
      <c r="AD88" s="72"/>
      <c r="AE88" s="72"/>
      <c r="AF88" s="72"/>
      <c r="AG88" s="72"/>
      <c r="AH88" s="72"/>
      <c r="AI88" s="72"/>
      <c r="AJ88" s="72"/>
      <c r="AK88" s="76"/>
      <c r="AL88" s="72"/>
      <c r="AM88" s="72"/>
      <c r="AN88" s="72"/>
      <c r="AO88" s="72"/>
      <c r="AP88" s="72"/>
      <c r="AQ88" s="72"/>
      <c r="AR88" s="72"/>
      <c r="AS88" s="181"/>
      <c r="AT88" s="72"/>
      <c r="AU88" s="72"/>
      <c r="AV88" s="182"/>
    </row>
    <row r="89" spans="1:49" x14ac:dyDescent="0.3">
      <c r="A89" s="181"/>
      <c r="B89" s="146"/>
      <c r="C89" s="146"/>
      <c r="D89" s="146"/>
      <c r="E89" s="146"/>
      <c r="F89" s="146"/>
      <c r="G89" s="146"/>
      <c r="H89" s="146"/>
      <c r="I89" s="146"/>
      <c r="J89" s="146"/>
      <c r="K89" s="164"/>
      <c r="L89" s="146"/>
      <c r="M89" s="220"/>
      <c r="N89" s="72"/>
      <c r="O89" s="115"/>
      <c r="P89" s="288">
        <v>4</v>
      </c>
      <c r="Q89" s="288" t="s">
        <v>454</v>
      </c>
      <c r="R89" s="340"/>
      <c r="S89" s="71"/>
      <c r="T89" s="71"/>
      <c r="U89" s="71"/>
      <c r="V89" s="71"/>
      <c r="W89" s="71"/>
      <c r="X89" s="71"/>
      <c r="Y89" s="71"/>
      <c r="Z89" s="71"/>
      <c r="AA89" s="71"/>
      <c r="AB89" s="71"/>
      <c r="AC89" s="71"/>
      <c r="AD89" s="71"/>
      <c r="AE89" s="71"/>
      <c r="AF89" s="71"/>
      <c r="AG89" s="71"/>
      <c r="AH89" s="71"/>
      <c r="AI89" s="71"/>
      <c r="AJ89" s="71"/>
      <c r="AK89" s="88"/>
      <c r="AL89" s="72"/>
      <c r="AM89" s="72"/>
      <c r="AN89" s="72"/>
      <c r="AO89" s="72"/>
      <c r="AP89" s="72"/>
      <c r="AQ89" s="72"/>
      <c r="AR89" s="72"/>
      <c r="AS89" s="181"/>
      <c r="AT89" s="72"/>
      <c r="AU89" s="72"/>
      <c r="AV89" s="182"/>
    </row>
    <row r="90" spans="1:49" ht="16.2" thickBot="1" x14ac:dyDescent="0.35">
      <c r="A90" s="181"/>
      <c r="B90" s="114" t="s">
        <v>294</v>
      </c>
      <c r="C90" s="146"/>
      <c r="D90" s="146" t="s">
        <v>448</v>
      </c>
      <c r="E90" s="146"/>
      <c r="F90" s="146"/>
      <c r="G90" s="146"/>
      <c r="H90" s="146"/>
      <c r="I90" s="386"/>
      <c r="J90" s="386"/>
      <c r="K90" s="387"/>
      <c r="L90" s="146" t="s">
        <v>20</v>
      </c>
      <c r="M90" s="220"/>
      <c r="N90" s="72"/>
      <c r="O90" s="151"/>
      <c r="P90" s="72"/>
      <c r="Q90" s="167"/>
      <c r="R90" s="167"/>
      <c r="S90" s="167"/>
      <c r="T90" s="167"/>
      <c r="U90" s="167"/>
      <c r="V90" s="167"/>
      <c r="W90" s="167"/>
      <c r="X90" s="167"/>
      <c r="Y90" s="167"/>
      <c r="Z90" s="167"/>
      <c r="AA90" s="167"/>
      <c r="AB90" s="167"/>
      <c r="AC90" s="167"/>
      <c r="AD90" s="167"/>
      <c r="AE90" s="167"/>
      <c r="AF90" s="167"/>
      <c r="AG90" s="167"/>
      <c r="AH90" s="167"/>
      <c r="AI90" s="167"/>
      <c r="AJ90" s="167"/>
      <c r="AK90" s="89"/>
      <c r="AL90" s="71"/>
      <c r="AM90" s="71"/>
      <c r="AN90" s="71"/>
      <c r="AO90" s="71"/>
      <c r="AP90" s="72"/>
      <c r="AQ90" s="72"/>
      <c r="AR90" s="72"/>
      <c r="AS90" s="183"/>
      <c r="AT90" s="184"/>
      <c r="AU90" s="184"/>
      <c r="AV90" s="185"/>
    </row>
    <row r="91" spans="1:49" ht="15.75" customHeight="1" thickTop="1" x14ac:dyDescent="0.6">
      <c r="A91" s="181"/>
      <c r="B91" s="72"/>
      <c r="C91" s="72"/>
      <c r="D91" s="72"/>
      <c r="E91" s="72"/>
      <c r="F91" s="72"/>
      <c r="G91" s="72"/>
      <c r="H91" s="72"/>
      <c r="I91" s="72"/>
      <c r="J91" s="72"/>
      <c r="K91" s="72"/>
      <c r="L91" s="72"/>
      <c r="M91" s="220"/>
      <c r="N91" s="76"/>
      <c r="O91" s="151"/>
      <c r="P91" s="167"/>
      <c r="Q91" s="167"/>
      <c r="R91" s="167"/>
      <c r="S91" s="167"/>
      <c r="T91" s="477" t="s">
        <v>175</v>
      </c>
      <c r="U91" s="477"/>
      <c r="V91" s="477"/>
      <c r="W91" s="477"/>
      <c r="X91" s="477"/>
      <c r="Y91" s="477"/>
      <c r="Z91" s="477"/>
      <c r="AA91" s="279"/>
      <c r="AB91" s="279"/>
      <c r="AC91" s="279"/>
      <c r="AD91" s="168"/>
      <c r="AE91" s="168"/>
      <c r="AF91" s="168"/>
      <c r="AG91" s="168"/>
      <c r="AH91" s="168"/>
      <c r="AI91" s="167"/>
      <c r="AJ91" s="167"/>
      <c r="AK91" s="89"/>
      <c r="AL91" s="72"/>
      <c r="AM91" s="72"/>
      <c r="AN91" s="72"/>
      <c r="AO91" s="72"/>
      <c r="AP91" s="331"/>
      <c r="AQ91" s="176"/>
      <c r="AR91" s="176"/>
      <c r="AS91" s="176"/>
      <c r="AT91" s="176"/>
      <c r="AU91" s="176"/>
      <c r="AV91" s="361"/>
      <c r="AW91" s="198"/>
    </row>
    <row r="92" spans="1:49" ht="15.75" customHeight="1" x14ac:dyDescent="0.6">
      <c r="A92" s="237"/>
      <c r="B92" s="254" t="s">
        <v>343</v>
      </c>
      <c r="C92" s="244"/>
      <c r="D92" s="159"/>
      <c r="E92" s="216"/>
      <c r="F92" s="153"/>
      <c r="G92" s="159"/>
      <c r="H92" s="159"/>
      <c r="I92" s="119"/>
      <c r="J92" s="119"/>
      <c r="K92" s="119"/>
      <c r="L92" s="153"/>
      <c r="M92" s="220"/>
      <c r="N92" s="76"/>
      <c r="O92" s="172"/>
      <c r="P92" s="120"/>
      <c r="Q92" s="120"/>
      <c r="R92" s="120"/>
      <c r="S92" s="120"/>
      <c r="T92" s="478"/>
      <c r="U92" s="478"/>
      <c r="V92" s="478"/>
      <c r="W92" s="478"/>
      <c r="X92" s="478"/>
      <c r="Y92" s="478"/>
      <c r="Z92" s="478"/>
      <c r="AA92" s="280"/>
      <c r="AB92" s="280"/>
      <c r="AC92" s="280"/>
      <c r="AD92" s="171"/>
      <c r="AE92" s="171"/>
      <c r="AF92" s="171"/>
      <c r="AG92" s="171"/>
      <c r="AH92" s="171"/>
      <c r="AI92" s="120"/>
      <c r="AJ92" s="120"/>
      <c r="AK92" s="173"/>
      <c r="AL92" s="71"/>
      <c r="AM92" s="71"/>
      <c r="AN92" s="72"/>
      <c r="AO92" s="72"/>
      <c r="AP92" s="181"/>
      <c r="AQ92" s="72"/>
      <c r="AR92" s="72"/>
      <c r="AS92" s="72"/>
      <c r="AT92" s="72"/>
      <c r="AU92" s="72"/>
      <c r="AV92" s="182"/>
      <c r="AW92" s="182"/>
    </row>
    <row r="93" spans="1:49" x14ac:dyDescent="0.3">
      <c r="A93" s="181"/>
      <c r="B93" s="149" t="s">
        <v>342</v>
      </c>
      <c r="C93" s="72"/>
      <c r="D93" s="72"/>
      <c r="E93" s="72"/>
      <c r="F93" s="72"/>
      <c r="G93" s="72"/>
      <c r="H93" s="72"/>
      <c r="I93" s="72"/>
      <c r="J93" s="72"/>
      <c r="K93" s="72"/>
      <c r="L93" s="72"/>
      <c r="M93" s="220"/>
      <c r="N93" s="76"/>
      <c r="O93" s="438" t="s">
        <v>174</v>
      </c>
      <c r="P93" s="439"/>
      <c r="Q93" s="438" t="s">
        <v>173</v>
      </c>
      <c r="R93" s="465"/>
      <c r="S93" s="439"/>
      <c r="T93" s="456" t="s">
        <v>172</v>
      </c>
      <c r="U93" s="457"/>
      <c r="V93" s="458"/>
      <c r="W93" s="438" t="s">
        <v>171</v>
      </c>
      <c r="X93" s="439"/>
      <c r="Y93" s="450" t="s">
        <v>425</v>
      </c>
      <c r="Z93" s="451"/>
      <c r="AA93" s="447" t="s">
        <v>357</v>
      </c>
      <c r="AB93" s="444" t="s">
        <v>358</v>
      </c>
      <c r="AC93" s="444" t="s">
        <v>170</v>
      </c>
      <c r="AD93" s="438" t="s">
        <v>163</v>
      </c>
      <c r="AE93" s="439"/>
      <c r="AF93" s="438" t="s">
        <v>169</v>
      </c>
      <c r="AG93" s="439"/>
      <c r="AH93" s="407"/>
      <c r="AI93" s="408"/>
      <c r="AJ93" s="395" t="s">
        <v>455</v>
      </c>
      <c r="AK93" s="396"/>
      <c r="AL93" s="395" t="s">
        <v>456</v>
      </c>
      <c r="AM93" s="396"/>
      <c r="AN93" s="411" t="s">
        <v>457</v>
      </c>
      <c r="AO93" s="412"/>
      <c r="AP93" s="181"/>
      <c r="AQ93" s="72"/>
      <c r="AR93" s="72"/>
      <c r="AS93" s="72"/>
      <c r="AT93" s="72"/>
      <c r="AU93" s="72"/>
      <c r="AV93" s="182"/>
      <c r="AW93" s="182"/>
    </row>
    <row r="94" spans="1:49" x14ac:dyDescent="0.3">
      <c r="A94" s="181"/>
      <c r="B94" s="150" t="s">
        <v>344</v>
      </c>
      <c r="C94" s="72"/>
      <c r="D94" s="72"/>
      <c r="E94" s="72"/>
      <c r="F94" s="72"/>
      <c r="G94" s="72"/>
      <c r="H94" s="72"/>
      <c r="I94" s="72"/>
      <c r="J94" s="72"/>
      <c r="K94" s="72"/>
      <c r="L94" s="72"/>
      <c r="M94" s="220"/>
      <c r="N94" s="76"/>
      <c r="O94" s="440"/>
      <c r="P94" s="441"/>
      <c r="Q94" s="440"/>
      <c r="R94" s="466"/>
      <c r="S94" s="441"/>
      <c r="T94" s="459"/>
      <c r="U94" s="460"/>
      <c r="V94" s="461"/>
      <c r="W94" s="440"/>
      <c r="X94" s="441"/>
      <c r="Y94" s="452"/>
      <c r="Z94" s="453"/>
      <c r="AA94" s="448"/>
      <c r="AB94" s="445"/>
      <c r="AC94" s="445"/>
      <c r="AD94" s="440"/>
      <c r="AE94" s="441"/>
      <c r="AF94" s="440"/>
      <c r="AG94" s="441"/>
      <c r="AH94" s="409" t="s">
        <v>424</v>
      </c>
      <c r="AI94" s="410"/>
      <c r="AJ94" s="397"/>
      <c r="AK94" s="398"/>
      <c r="AL94" s="397"/>
      <c r="AM94" s="398"/>
      <c r="AN94" s="413"/>
      <c r="AO94" s="414"/>
      <c r="AP94" s="181"/>
      <c r="AQ94" s="72"/>
      <c r="AR94" s="72"/>
      <c r="AS94" s="72"/>
      <c r="AT94" s="72"/>
      <c r="AU94" s="72"/>
      <c r="AV94" s="182"/>
      <c r="AW94" s="182"/>
    </row>
    <row r="95" spans="1:49" x14ac:dyDescent="0.3">
      <c r="A95" s="181"/>
      <c r="B95" s="150" t="s">
        <v>478</v>
      </c>
      <c r="C95" s="72"/>
      <c r="D95" s="72"/>
      <c r="E95" s="72"/>
      <c r="F95" s="72"/>
      <c r="G95" s="72"/>
      <c r="H95" s="72"/>
      <c r="I95" s="72"/>
      <c r="J95" s="72"/>
      <c r="K95" s="72"/>
      <c r="L95" s="72"/>
      <c r="M95" s="220"/>
      <c r="N95" s="76"/>
      <c r="O95" s="442"/>
      <c r="P95" s="443"/>
      <c r="Q95" s="442"/>
      <c r="R95" s="467"/>
      <c r="S95" s="443"/>
      <c r="T95" s="462"/>
      <c r="U95" s="463"/>
      <c r="V95" s="464"/>
      <c r="W95" s="442"/>
      <c r="X95" s="443"/>
      <c r="Y95" s="454"/>
      <c r="Z95" s="455"/>
      <c r="AA95" s="449"/>
      <c r="AB95" s="446"/>
      <c r="AC95" s="446"/>
      <c r="AD95" s="442"/>
      <c r="AE95" s="443"/>
      <c r="AF95" s="442"/>
      <c r="AG95" s="443"/>
      <c r="AH95" s="388" t="s">
        <v>360</v>
      </c>
      <c r="AI95" s="389" t="s">
        <v>426</v>
      </c>
      <c r="AJ95" s="399"/>
      <c r="AK95" s="400"/>
      <c r="AL95" s="399"/>
      <c r="AM95" s="400"/>
      <c r="AN95" s="415"/>
      <c r="AO95" s="416"/>
      <c r="AP95" s="181"/>
      <c r="AQ95" s="72"/>
      <c r="AR95" s="72"/>
      <c r="AS95" s="72"/>
      <c r="AT95" s="72"/>
      <c r="AU95" s="72"/>
      <c r="AV95" s="182"/>
      <c r="AW95" s="182"/>
    </row>
    <row r="96" spans="1:49" ht="15.75" customHeight="1" x14ac:dyDescent="0.3">
      <c r="A96" s="181"/>
      <c r="B96" s="150"/>
      <c r="C96" s="72"/>
      <c r="D96" s="72"/>
      <c r="E96" s="72"/>
      <c r="F96" s="72"/>
      <c r="G96" s="72"/>
      <c r="H96" s="72"/>
      <c r="I96" s="72"/>
      <c r="J96" s="72"/>
      <c r="K96" s="72"/>
      <c r="L96" s="72"/>
      <c r="M96" s="220"/>
      <c r="N96" s="76"/>
      <c r="O96" s="419"/>
      <c r="P96" s="420"/>
      <c r="Q96" s="419"/>
      <c r="R96" s="421"/>
      <c r="S96" s="420"/>
      <c r="T96" s="422"/>
      <c r="U96" s="423"/>
      <c r="V96" s="424"/>
      <c r="W96" s="425"/>
      <c r="X96" s="426"/>
      <c r="Y96" s="427"/>
      <c r="Z96" s="428"/>
      <c r="AA96" s="139"/>
      <c r="AB96" s="138" t="s">
        <v>444</v>
      </c>
      <c r="AC96" s="371" t="str">
        <f>IF(AND(W96="Water &amp; Sewer",AA96&lt;='Meter Schedule List'!$AD$54),"5/8-Inch",IF(AND(W96="Water Only",AA96&lt;='Meter Schedule List'!$AD$54),"5/8-Inch",IF(AND(W96="Sub-meter",AA96&lt;='Meter Schedule List'!$AD$54),"5/8-Inch",IF(AND(W96="Water &amp; Sewer",AA96&lt;='Meter Schedule List'!$AD$55),"1-Inch",IF(AND(W96="Water Only",AA96&lt;='Meter Schedule List'!$AD$55),"1-Inch",IF(AND(W96="Sub-meter",AA96&lt;='Meter Schedule List'!$AD$55),"1-Inch",IF(AND(W96="Water &amp; Sewer",AA96&lt;='Meter Schedule List'!$AD$56),"1.5-Inch",IF(AND(W96="Water Only",AA96&lt;='Meter Schedule List'!$AD$56),"1.5-Inch",IF(AND(W96="Sub-meter",AA96&lt;='Meter Schedule List'!$AD$56),"1.5-Inch",IF(AND(W96="Water &amp; Sewer",AA96&lt;='Meter Schedule List'!$AD$57),"2-Inch",IF(AND(W96="Water Only",AA96&lt;='Meter Schedule List'!$AD$57),"2-Inch",IF(AND(W96="Sub-meter",AA96&lt;='Meter Schedule List'!$AD$57),"2-Inch",IF(AND(W96="Water &amp; Sewer",AA96&lt;='Meter Schedule List'!$AD$58),"3-Inch",IF(AND(W96="Water Only",AA96&lt;='Meter Schedule List'!$AD$58),"3-Inch",IF(AND(W96="Sub-meter",AA96&lt;='Meter Schedule List'!$AD$58),"3-Inch",IF(AND(W96="Sewer Only",AA96&lt;='Meter Schedule List'!$AD$63),"3-Inch",IF(AND(W96="Water &amp; Sewer",AA96&lt;='Meter Schedule List'!$AD$59),"4-Inch",IF(AND(W96="Water Only",AA96&lt;='Meter Schedule List'!$AD$59),"4-Inch",IF(AND(W96="Sub-meter",AA96&lt;='Meter Schedule List'!$AD$59),"4-Inch",IF(AND(W96="Sewer Only",AA96&lt;='Meter Schedule List'!$AD$64),"4-Inch",IF(AND(W96="Water &amp; Sewer",AA96&lt;='Meter Schedule List'!$AD$60),"6-Inch",IF(AND(W96="Water Only",AA96&lt;='Meter Schedule List'!$AD$60),"6-Inch",IF(AND(W96="Sub-meter",AA96&lt;='Meter Schedule List'!$AD$60),"6-Inch",IF(AND(W96="Sewer Only",AA96&lt;='Meter Schedule List'!$AD$65),"6-Inch",IF(AND(W96="Water &amp; Sewer",AA96&lt;='Meter Schedule List'!$AD$61),"8-Inch",IF(AND(W96="Water Only",AA96&lt;='Meter Schedule List'!$AD$61),"8-Inch",IF(AND(W96="Sub-meter",AA96&lt;='Meter Schedule List'!$AD$61),"8-Inch",IF(AND(W96="Sewer Only",AA96&lt;='Meter Schedule List'!$AD$66),"8-Inch",IF(AND(W96="Water &amp; Sewer",AA96&lt;='Meter Schedule List'!$AD$62),"10-Inch",IF(AND(W96="Water Only",AA96&lt;='Meter Schedule List'!$AD$62),"10-Inch",IF(AND(W96="Sub-meter",AA96&lt;='Meter Schedule List'!$AD$62),"10-Inch",IF(AND(W96="Sewer Only",AA96&lt;='Meter Schedule List'!$AD$67),"10-Inch",IF(AND(W96="Sewer Only",AA96&lt;='Meter Schedule List'!$AD$68),"12-Inch",IF(W96="",""))))))))))))))))))))))))))))))))))</f>
        <v/>
      </c>
      <c r="AD96" s="468" t="str">
        <f>IF(AND(W96='Meter Schedule List'!$S$54),VLOOKUP(AC96,'Meter Schedule List'!$Q$54:$AD$62,2,FALSE),IF(AND(W96='Meter Schedule List'!$T$54),VLOOKUP(AC96,'Meter Schedule List'!$Q$54:$AD$62,2,FALSE),IF(AND(W96='Meter Schedule List'!$V$54),VLOOKUP(AC96,'Meter Schedule List'!$Q$54:$AD$62,2,FALSE),IF(AND(W96='Meter Schedule List'!$U$54),VLOOKUP(AC96,'Meter Schedule List'!$Q$63:$AD$69,2,FALSE),IF(W96="","")))))</f>
        <v/>
      </c>
      <c r="AE96" s="469"/>
      <c r="AF96" s="494" t="str">
        <f>IF(AND(W96='Meter Schedule List'!$S$54),VLOOKUP(AC96,'Meter Schedule List'!$Q$54:$AD$68,8,FALSE),IF(AND(W96='Meter Schedule List'!$T$54),VLOOKUP(AC96,'Meter Schedule List'!$Q$54:$AD$68,8,FALSE),IF(AND(W96='Meter Schedule List'!$V$54),VLOOKUP(AC96,'Meter Schedule List'!$Q$54:$AD$68,8,FALSE),IF(AND(W96='Meter Schedule List'!$U$54),VLOOKUP(AC96,'Meter Schedule List'!$Q$63:$AD$68,8,FALSE),IF(W96="","")))))</f>
        <v/>
      </c>
      <c r="AG96" s="495"/>
      <c r="AH96" s="390" t="str">
        <f>IF(AND(W96='Meter Schedule List'!$S$54),VLOOKUP(AC96,'Meter Schedule List'!$Q$54:$AD$68,9,FALSE),IF(AND(W96='Meter Schedule List'!$T$54),VLOOKUP(AC96,'Meter Schedule List'!$Q$54:$AD$68,9,FALSE),IF(AND(W96='Meter Schedule List'!$V$54),VLOOKUP(AC96,'Meter Schedule List'!$Q$54:$AD$68,9,FALSE),IF(AND(W96='Meter Schedule List'!$U$54),VLOOKUP(AC96,'Meter Schedule List'!$Q$63:$AD$68,9,FALSE),IF(W96="","")))))</f>
        <v/>
      </c>
      <c r="AI96" s="390" t="str">
        <f>IF(AND(W96='Meter Schedule List'!$S$54),VLOOKUP(AC96,'Meter Schedule List'!$Q$54:$AD$68,14,FALSE),IF(AND(W96='Meter Schedule List'!$T$54),VLOOKUP(AC96,'Meter Schedule List'!$Q$54:$AD$68,14,FALSE),IF(AND(W96='Meter Schedule List'!$V$54),VLOOKUP(AC96,'Meter Schedule List'!$Q$54:$AD$68,14,FALSE),IF(AND(W96='Meter Schedule List'!$U$54),VLOOKUP(AC96,'Meter Schedule List'!$Q$63:$AD$68,14,FALSE),IF(W96="","")))))</f>
        <v/>
      </c>
      <c r="AJ96" s="393" t="str">
        <f>IF(AND(W96='Meter Schedule List'!$AL$52),VLOOKUP(AC96,'Meter Schedule List'!$Q$54:$AO$68,22,FALSE)*AB96,IF(AND(W96='Meter Schedule List'!$AM$52),VLOOKUP(AC96,'Meter Schedule List'!$Q$54:$AO$68,23,FALSE)*AB96,IF(AND(W96='Meter Schedule List'!$AN$52),VLOOKUP(AC96,'Meter Schedule List'!$Q$63:$AO$68,24,FALSE)*AB96,IF(AND(W96='Meter Schedule List'!$AO$52),VLOOKUP(AC96,'Meter Schedule List'!$Q$54:$AO$68,25,FALSE),IF(AC96="","")))))</f>
        <v/>
      </c>
      <c r="AK96" s="394"/>
      <c r="AL96" s="393" t="str">
        <f>IF(AND(W96='Meter Schedule List'!$AS$52),VLOOKUP(AC96,'Meter Schedule List'!$Q$54:$AV$68,29,FALSE)*AB96,IF(AND(W96='Meter Schedule List'!$AT$52),VLOOKUP(AC96,'Meter Schedule List'!$Q$54:$AV$68,30,FALSE)*AB96,IF(AND(W96='Meter Schedule List'!$AU$52),VLOOKUP(AC96,'Meter Schedule List'!$Q$63:$AV$68,31,FALSE)*AB96,IF(AND(W96='Meter Schedule List'!$AV$52),VLOOKUP(AC96,'Meter Schedule List'!$Q$54:$AV$68,32,FALSE),IF(AC96="","")))))</f>
        <v/>
      </c>
      <c r="AM96" s="394"/>
      <c r="AN96" s="417" t="str">
        <f>IF(AND(W96='Meter Schedule List'!$AZ$52),VLOOKUP(AC96,'Meter Schedule List'!$Q$54:$BC$68,36,FALSE)*AB96,IF(AND(W96='Meter Schedule List'!$BA$52),VLOOKUP(AC96,'Meter Schedule List'!$Q$54:$BC$68,37,FALSE)*AB96,IF(AND(W96='Meter Schedule List'!$BB$52),VLOOKUP(AC96,'Meter Schedule List'!$Q$63:$BC$68,38,FALSE)*AB96,IF(AND(W96='Meter Schedule List'!$BC$52),VLOOKUP(AC96,'Meter Schedule List'!$Q$54:$BC$68,39,FALSE),IF(AC96="","")))))</f>
        <v/>
      </c>
      <c r="AO96" s="418"/>
      <c r="AP96" s="496" t="s">
        <v>316</v>
      </c>
      <c r="AQ96" s="497"/>
      <c r="AR96" s="497"/>
      <c r="AS96" s="497"/>
      <c r="AT96" s="497"/>
      <c r="AU96" s="497"/>
      <c r="AV96" s="498"/>
      <c r="AW96" s="357"/>
    </row>
    <row r="97" spans="1:50" ht="15.75" customHeight="1" x14ac:dyDescent="0.3">
      <c r="A97" s="181"/>
      <c r="B97" s="149" t="s">
        <v>458</v>
      </c>
      <c r="C97" s="72"/>
      <c r="D97" s="72"/>
      <c r="E97" s="72"/>
      <c r="F97" s="72"/>
      <c r="G97" s="72"/>
      <c r="H97" s="72"/>
      <c r="I97" s="72"/>
      <c r="J97" s="72"/>
      <c r="K97" s="72"/>
      <c r="L97" s="72"/>
      <c r="M97" s="220"/>
      <c r="N97" s="76"/>
      <c r="O97" s="419"/>
      <c r="P97" s="420"/>
      <c r="Q97" s="419"/>
      <c r="R97" s="421"/>
      <c r="S97" s="420"/>
      <c r="T97" s="422"/>
      <c r="U97" s="423"/>
      <c r="V97" s="424"/>
      <c r="W97" s="425"/>
      <c r="X97" s="426"/>
      <c r="Y97" s="427"/>
      <c r="Z97" s="428"/>
      <c r="AA97" s="139"/>
      <c r="AB97" s="138" t="str">
        <f>IF(W97="Water &amp; Sewer",VLOOKUP(AC97,'Meter Schedule List'!$Q$54:$AM$62,18,FALSE),IF(W97="Water Only",VLOOKUP(AC97,'Meter Schedule List'!$Q$54:$AM$62,18,FALSE),IF(W97="Sub-meter",VLOOKUP(AC97,'Meter Schedule List'!$Q$54:$AM$62,20,FALSE),IF(W97="Sewer Only",VLOOKUP(AC97,'Meter Schedule List'!$Q$54:$AM$62,18,FALSE),IF(W97="","")))))</f>
        <v/>
      </c>
      <c r="AC97" s="371" t="str">
        <f>IF(AND(W97="Water &amp; Sewer",AA97&lt;='Meter Schedule List'!$AD$54),"5/8-Inch",IF(AND(W97="Water Only",AA97&lt;='Meter Schedule List'!$AD$54),"5/8-Inch",IF(AND(W97="Sub-meter",AA97&lt;='Meter Schedule List'!$AD$54),"5/8-Inch",IF(AND(W97="Water &amp; Sewer",AA97&lt;='Meter Schedule List'!$AD$55),"1-Inch",IF(AND(W97="Water Only",AA97&lt;='Meter Schedule List'!$AD$55),"1-Inch",IF(AND(W97="Sub-meter",AA97&lt;='Meter Schedule List'!$AD$55),"1-Inch",IF(AND(W97="Water &amp; Sewer",AA97&lt;='Meter Schedule List'!$AD$56),"1.5-Inch",IF(AND(W97="Water Only",AA97&lt;='Meter Schedule List'!$AD$56),"1.5-Inch",IF(AND(W97="Sub-meter",AA97&lt;='Meter Schedule List'!$AD$56),"1.5-Inch",IF(AND(W97="Water &amp; Sewer",AA97&lt;='Meter Schedule List'!$AD$57),"2-Inch",IF(AND(W97="Water Only",AA97&lt;='Meter Schedule List'!$AD$57),"2-Inch",IF(AND(W97="Sub-meter",AA97&lt;='Meter Schedule List'!$AD$57),"2-Inch",IF(AND(W97="Water &amp; Sewer",AA97&lt;='Meter Schedule List'!$AD$58),"3-Inch",IF(AND(W97="Water Only",AA97&lt;='Meter Schedule List'!$AD$58),"3-Inch",IF(AND(W97="Sub-meter",AA97&lt;='Meter Schedule List'!$AD$58),"3-Inch",IF(AND(W97="Sewer Only",AA97&lt;='Meter Schedule List'!$AD$63),"3-Inch",IF(AND(W97="Water &amp; Sewer",AA97&lt;='Meter Schedule List'!$AD$59),"4-Inch",IF(AND(W97="Water Only",AA97&lt;='Meter Schedule List'!$AD$59),"4-Inch",IF(AND(W97="Sub-meter",AA97&lt;='Meter Schedule List'!$AD$59),"4-Inch",IF(AND(W97="Sewer Only",AA97&lt;='Meter Schedule List'!$AD$64),"4-Inch",IF(AND(W97="Water &amp; Sewer",AA97&lt;='Meter Schedule List'!$AD$60),"6-Inch",IF(AND(W97="Water Only",AA97&lt;='Meter Schedule List'!$AD$60),"6-Inch",IF(AND(W97="Sub-meter",AA97&lt;='Meter Schedule List'!$AD$60),"6-Inch",IF(AND(W97="Sewer Only",AA97&lt;='Meter Schedule List'!$AD$65),"6-Inch",IF(AND(W97="Water &amp; Sewer",AA97&lt;='Meter Schedule List'!$AD$61),"8-Inch",IF(AND(W97="Water Only",AA97&lt;='Meter Schedule List'!$AD$61),"8-Inch",IF(AND(W97="Sub-meter",AA97&lt;='Meter Schedule List'!$AD$61),"8-Inch",IF(AND(W97="Sewer Only",AA97&lt;='Meter Schedule List'!$AD$66),"8-Inch",IF(AND(W97="Water &amp; Sewer",AA97&lt;='Meter Schedule List'!$AD$62),"10-Inch",IF(AND(W97="Water Only",AA97&lt;='Meter Schedule List'!$AD$62),"10-Inch",IF(AND(W97="Sub-meter",AA97&lt;='Meter Schedule List'!$AD$62),"10-Inch",IF(AND(W97="Sewer Only",AA97&lt;='Meter Schedule List'!$AD$67),"10-Inch",IF(AND(W97="Sewer Only",AA97&lt;='Meter Schedule List'!$AD$68),"12-Inch",IF(W97="",""))))))))))))))))))))))))))))))))))</f>
        <v/>
      </c>
      <c r="AD97" s="492" t="str">
        <f>IF(AND(W97='Meter Schedule List'!$S$54),VLOOKUP(AC97,'Meter Schedule List'!$Q$54:$AD$68,2,FALSE),IF(AND(W97='Meter Schedule List'!$T$54),VLOOKUP(AC97,'Meter Schedule List'!$Q$54:$AD$68,2,FALSE),IF(AND(W97='Meter Schedule List'!$V$54),VLOOKUP(AC97,'Meter Schedule List'!$Q$54:$AD$68,2,FALSE),IF(AND(W97='Meter Schedule List'!$U$54),VLOOKUP(AC97,'Meter Schedule List'!$Q$63:$AD$68,2,FALSE),IF(W97="","")))))</f>
        <v/>
      </c>
      <c r="AE97" s="493"/>
      <c r="AF97" s="494" t="str">
        <f>IF(AND(W97='Meter Schedule List'!$S$54),VLOOKUP(AC97,'Meter Schedule List'!$Q$54:$AD$68,8,FALSE),IF(AND(W97='Meter Schedule List'!$T$54),VLOOKUP(AC97,'Meter Schedule List'!$Q$54:$AD$68,8,FALSE),IF(AND(W97='Meter Schedule List'!$V$54),VLOOKUP(AC97,'Meter Schedule List'!$Q$54:$AD$68,8,FALSE),IF(AND(W97='Meter Schedule List'!$U$54),VLOOKUP(AC97,'Meter Schedule List'!$Q$63:$AD$68,8,FALSE),IF(W97="","")))))</f>
        <v/>
      </c>
      <c r="AG97" s="495"/>
      <c r="AH97" s="390" t="str">
        <f>IF(AND(W97='Meter Schedule List'!$S$54),VLOOKUP(AC97,'Meter Schedule List'!$Q$54:$AD$68,9,FALSE),IF(AND(W97='Meter Schedule List'!$T$54),VLOOKUP(AC97,'Meter Schedule List'!$Q$54:$AD$68,9,FALSE),IF(AND(W97='Meter Schedule List'!$V$54),VLOOKUP(AC97,'Meter Schedule List'!$Q$54:$AD$68,9,FALSE),IF(AND(W97='Meter Schedule List'!$U$54),VLOOKUP(AC97,'Meter Schedule List'!$Q$63:$AD$68,9,FALSE),IF(W97="","")))))</f>
        <v/>
      </c>
      <c r="AI97" s="390" t="str">
        <f>IF(AND(W97='Meter Schedule List'!$S$54),VLOOKUP(AC97,'Meter Schedule List'!$Q$54:$AD$68,14,FALSE),IF(AND(W97='Meter Schedule List'!$T$54),VLOOKUP(AC97,'Meter Schedule List'!$Q$54:$AD$68,14,FALSE),IF(AND(W97='Meter Schedule List'!$V$54),VLOOKUP(AC97,'Meter Schedule List'!$Q$54:$AD$68,14,FALSE),IF(AND(W97='Meter Schedule List'!$U$54),VLOOKUP(AC97,'Meter Schedule List'!$Q$63:$AD$68,14,FALSE),IF(W97="","")))))</f>
        <v/>
      </c>
      <c r="AJ97" s="393" t="str">
        <f>IF(AND(W97='Meter Schedule List'!$AL$52),VLOOKUP(AC97,'Meter Schedule List'!$Q$54:$AO$68,22,FALSE)*AB97,IF(AND(W97='Meter Schedule List'!$AM$52),VLOOKUP(AC97,'Meter Schedule List'!$Q$54:$AO$68,23,FALSE)*AB97,IF(AND(W97='Meter Schedule List'!$AN$52),VLOOKUP(AC97,'Meter Schedule List'!$Q$63:$AO$68,24,FALSE)*AB97,IF(AND(W97='Meter Schedule List'!$AO$52),VLOOKUP(AC97,'Meter Schedule List'!$Q$54:$AO$68,25,FALSE),IF(AC97="","")))))</f>
        <v/>
      </c>
      <c r="AK97" s="394"/>
      <c r="AL97" s="393" t="str">
        <f>IF(AND(W97='Meter Schedule List'!$AS$52),VLOOKUP(AC97,'Meter Schedule List'!$Q$54:$AV$68,29,FALSE)*AB97,IF(AND(W97='Meter Schedule List'!$AT$52),VLOOKUP(AC97,'Meter Schedule List'!$Q$54:$AV$68,30,FALSE)*AB97,IF(AND(W97='Meter Schedule List'!$AU$52),VLOOKUP(AC97,'Meter Schedule List'!$Q$63:$AV$68,31,FALSE)*AB97,IF(AND(W97='Meter Schedule List'!$AV$52),VLOOKUP(AC97,'Meter Schedule List'!$Q$54:$AV$68,32,FALSE),IF(AC97="","")))))</f>
        <v/>
      </c>
      <c r="AM97" s="394"/>
      <c r="AN97" s="417" t="str">
        <f>IF(AND(W97='Meter Schedule List'!$AZ$52),VLOOKUP(AC97,'Meter Schedule List'!$Q$54:$BC$68,36,FALSE)*AB97,IF(AND(W97='Meter Schedule List'!$BA$52),VLOOKUP(AC97,'Meter Schedule List'!$Q$54:$BC$68,37,FALSE)*AB97,IF(AND(W97='Meter Schedule List'!$BB$52),VLOOKUP(AC97,'Meter Schedule List'!$Q$63:$BC$68,38,FALSE)*AB97,IF(AND(W97='Meter Schedule List'!$BC$52),VLOOKUP(AC97,'Meter Schedule List'!$Q$54:$BC$68,39,FALSE),IF(AC97="","")))))</f>
        <v/>
      </c>
      <c r="AO97" s="418"/>
      <c r="AP97" s="499"/>
      <c r="AQ97" s="500"/>
      <c r="AR97" s="500"/>
      <c r="AS97" s="500"/>
      <c r="AT97" s="500"/>
      <c r="AU97" s="500"/>
      <c r="AV97" s="501"/>
      <c r="AW97" s="358"/>
    </row>
    <row r="98" spans="1:50" ht="15.75" customHeight="1" x14ac:dyDescent="0.3">
      <c r="A98" s="181"/>
      <c r="B98" s="149" t="s">
        <v>459</v>
      </c>
      <c r="C98" s="72"/>
      <c r="D98" s="72"/>
      <c r="E98" s="72"/>
      <c r="F98" s="72"/>
      <c r="G98" s="72"/>
      <c r="H98" s="72"/>
      <c r="I98" s="72"/>
      <c r="J98" s="72"/>
      <c r="K98" s="72"/>
      <c r="L98" s="72"/>
      <c r="M98" s="220"/>
      <c r="N98" s="76"/>
      <c r="O98" s="419"/>
      <c r="P98" s="420"/>
      <c r="Q98" s="419"/>
      <c r="R98" s="421"/>
      <c r="S98" s="420"/>
      <c r="T98" s="422"/>
      <c r="U98" s="423"/>
      <c r="V98" s="424"/>
      <c r="W98" s="425"/>
      <c r="X98" s="426"/>
      <c r="Y98" s="427"/>
      <c r="Z98" s="428"/>
      <c r="AA98" s="139"/>
      <c r="AB98" s="138" t="str">
        <f>IF(W98="Water &amp; Sewer",VLOOKUP(AC98,'Meter Schedule List'!$Q$54:$AM$62,18,FALSE),IF(W98="Water Only",VLOOKUP(AC98,'Meter Schedule List'!$Q$54:$AM$62,18,FALSE),IF(W98="Sub-meter",VLOOKUP(AC98,'Meter Schedule List'!$Q$54:$AM$62,20,FALSE),IF(W98="Sewer Only",VLOOKUP(AC98,'Meter Schedule List'!$Q$54:$AM$62,18,FALSE),IF(W98="","")))))</f>
        <v/>
      </c>
      <c r="AC98" s="371" t="str">
        <f>IF(AND(W98="Water &amp; Sewer",AA98&lt;='Meter Schedule List'!$AD$54),"5/8-Inch",IF(AND(W98="Water Only",AA98&lt;='Meter Schedule List'!$AD$54),"5/8-Inch",IF(AND(W98="Sub-meter",AA98&lt;='Meter Schedule List'!$AD$54),"5/8-Inch",IF(AND(W98="Water &amp; Sewer",AA98&lt;='Meter Schedule List'!$AD$55),"1-Inch",IF(AND(W98="Water Only",AA98&lt;='Meter Schedule List'!$AD$55),"1-Inch",IF(AND(W98="Sub-meter",AA98&lt;='Meter Schedule List'!$AD$55),"1-Inch",IF(AND(W98="Water &amp; Sewer",AA98&lt;='Meter Schedule List'!$AD$56),"1.5-Inch",IF(AND(W98="Water Only",AA98&lt;='Meter Schedule List'!$AD$56),"1.5-Inch",IF(AND(W98="Sub-meter",AA98&lt;='Meter Schedule List'!$AD$56),"1.5-Inch",IF(AND(W98="Water &amp; Sewer",AA98&lt;='Meter Schedule List'!$AD$57),"2-Inch",IF(AND(W98="Water Only",AA98&lt;='Meter Schedule List'!$AD$57),"2-Inch",IF(AND(W98="Sub-meter",AA98&lt;='Meter Schedule List'!$AD$57),"2-Inch",IF(AND(W98="Water &amp; Sewer",AA98&lt;='Meter Schedule List'!$AD$58),"3-Inch",IF(AND(W98="Water Only",AA98&lt;='Meter Schedule List'!$AD$58),"3-Inch",IF(AND(W98="Sub-meter",AA98&lt;='Meter Schedule List'!$AD$58),"3-Inch",IF(AND(W98="Sewer Only",AA98&lt;='Meter Schedule List'!$AD$63),"3-Inch",IF(AND(W98="Water &amp; Sewer",AA98&lt;='Meter Schedule List'!$AD$59),"4-Inch",IF(AND(W98="Water Only",AA98&lt;='Meter Schedule List'!$AD$59),"4-Inch",IF(AND(W98="Sub-meter",AA98&lt;='Meter Schedule List'!$AD$59),"4-Inch",IF(AND(W98="Sewer Only",AA98&lt;='Meter Schedule List'!$AD$64),"4-Inch",IF(AND(W98="Water &amp; Sewer",AA98&lt;='Meter Schedule List'!$AD$60),"6-Inch",IF(AND(W98="Water Only",AA98&lt;='Meter Schedule List'!$AD$60),"6-Inch",IF(AND(W98="Sub-meter",AA98&lt;='Meter Schedule List'!$AD$60),"6-Inch",IF(AND(W98="Sewer Only",AA98&lt;='Meter Schedule List'!$AD$65),"6-Inch",IF(AND(W98="Water &amp; Sewer",AA98&lt;='Meter Schedule List'!$AD$61),"8-Inch",IF(AND(W98="Water Only",AA98&lt;='Meter Schedule List'!$AD$61),"8-Inch",IF(AND(W98="Sub-meter",AA98&lt;='Meter Schedule List'!$AD$61),"8-Inch",IF(AND(W98="Sewer Only",AA98&lt;='Meter Schedule List'!$AD$66),"8-Inch",IF(AND(W98="Water &amp; Sewer",AA98&lt;='Meter Schedule List'!$AD$62),"10-Inch",IF(AND(W98="Water Only",AA98&lt;='Meter Schedule List'!$AD$62),"10-Inch",IF(AND(W98="Sub-meter",AA98&lt;='Meter Schedule List'!$AD$62),"10-Inch",IF(AND(W98="Sewer Only",AA98&lt;='Meter Schedule List'!$AD$67),"10-Inch",IF(AND(W98="Sewer Only",AA98&lt;='Meter Schedule List'!$AD$68),"12-Inch",IF(W98="",""))))))))))))))))))))))))))))))))))</f>
        <v/>
      </c>
      <c r="AD98" s="492" t="str">
        <f>IF(AND(W98='Meter Schedule List'!$S$54),VLOOKUP(AC98,'Meter Schedule List'!$Q$54:$AD$68,2,FALSE),IF(AND(W98='Meter Schedule List'!$T$54),VLOOKUP(AC98,'Meter Schedule List'!$Q$54:$AD$68,2,FALSE),IF(AND(W98='Meter Schedule List'!$V$54),VLOOKUP(AC98,'Meter Schedule List'!$Q$54:$AD$68,2,FALSE),IF(AND(W98='Meter Schedule List'!$U$54),VLOOKUP(AC98,'Meter Schedule List'!$Q$63:$AD$68,2,FALSE),IF(W98="","")))))</f>
        <v/>
      </c>
      <c r="AE98" s="493"/>
      <c r="AF98" s="494" t="str">
        <f>IF(AND(W98='Meter Schedule List'!$S$54),VLOOKUP(AC98,'Meter Schedule List'!$Q$54:$AD$68,8,FALSE),IF(AND(W98='Meter Schedule List'!$T$54),VLOOKUP(AC98,'Meter Schedule List'!$Q$54:$AD$68,8,FALSE),IF(AND(W98='Meter Schedule List'!$V$54),VLOOKUP(AC98,'Meter Schedule List'!$Q$54:$AD$68,8,FALSE),IF(AND(W98='Meter Schedule List'!$U$54),VLOOKUP(AC98,'Meter Schedule List'!$Q$63:$AD$68,8,FALSE),IF(W98="","")))))</f>
        <v/>
      </c>
      <c r="AG98" s="495"/>
      <c r="AH98" s="390" t="str">
        <f>IF(AND(W98='Meter Schedule List'!$S$54),VLOOKUP(AC98,'Meter Schedule List'!$Q$54:$AD$68,9,FALSE),IF(AND(W98='Meter Schedule List'!$T$54),VLOOKUP(AC98,'Meter Schedule List'!$Q$54:$AD$68,9,FALSE),IF(AND(W98='Meter Schedule List'!$V$54),VLOOKUP(AC98,'Meter Schedule List'!$Q$54:$AD$68,9,FALSE),IF(AND(W98='Meter Schedule List'!$U$54),VLOOKUP(AC98,'Meter Schedule List'!$Q$63:$AD$68,9,FALSE),IF(W98="","")))))</f>
        <v/>
      </c>
      <c r="AI98" s="390" t="str">
        <f>IF(AND(W98='Meter Schedule List'!$S$54),VLOOKUP(AC98,'Meter Schedule List'!$Q$54:$AD$68,14,FALSE),IF(AND(W98='Meter Schedule List'!$T$54),VLOOKUP(AC98,'Meter Schedule List'!$Q$54:$AD$68,14,FALSE),IF(AND(W98='Meter Schedule List'!$V$54),VLOOKUP(AC98,'Meter Schedule List'!$Q$54:$AD$68,14,FALSE),IF(AND(W98='Meter Schedule List'!$U$54),VLOOKUP(AC98,'Meter Schedule List'!$Q$63:$AD$68,14,FALSE),IF(W98="","")))))</f>
        <v/>
      </c>
      <c r="AJ98" s="393" t="str">
        <f>IF(AND(W98='Meter Schedule List'!$AL$52),VLOOKUP(AC98,'Meter Schedule List'!$Q$54:$AO$68,22,FALSE)*AB98,IF(AND(W98='Meter Schedule List'!$AM$52),VLOOKUP(AC98,'Meter Schedule List'!$Q$54:$AO$68,23,FALSE)*AB98,IF(AND(W98='Meter Schedule List'!$AN$52),VLOOKUP(AC98,'Meter Schedule List'!$Q$63:$AO$68,24,FALSE)*AB98,IF(AND(W98='Meter Schedule List'!$AO$52),VLOOKUP(AC98,'Meter Schedule List'!$Q$54:$AO$68,25,FALSE),IF(AC98="","")))))</f>
        <v/>
      </c>
      <c r="AK98" s="394"/>
      <c r="AL98" s="393" t="str">
        <f>IF(AND(W98='Meter Schedule List'!$AS$52),VLOOKUP(AC98,'Meter Schedule List'!$Q$54:$AV$68,29,FALSE)*AB98,IF(AND(W98='Meter Schedule List'!$AT$52),VLOOKUP(AC98,'Meter Schedule List'!$Q$54:$AV$68,30,FALSE)*AB98,IF(AND(W98='Meter Schedule List'!$AU$52),VLOOKUP(AC98,'Meter Schedule List'!$Q$63:$AV$68,31,FALSE)*AB98,IF(AND(W98='Meter Schedule List'!$AV$52),VLOOKUP(AC98,'Meter Schedule List'!$Q$54:$AV$68,32,FALSE),IF(AC98="","")))))</f>
        <v/>
      </c>
      <c r="AM98" s="394"/>
      <c r="AN98" s="417" t="str">
        <f>IF(AND(W98='Meter Schedule List'!$AZ$52),VLOOKUP(AC98,'Meter Schedule List'!$Q$54:$BC$68,36,FALSE)*AB98,IF(AND(W98='Meter Schedule List'!$BA$52),VLOOKUP(AC98,'Meter Schedule List'!$Q$54:$BC$68,37,FALSE)*AB98,IF(AND(W98='Meter Schedule List'!$BB$52),VLOOKUP(AC98,'Meter Schedule List'!$Q$63:$BC$68,38,FALSE)*AB98,IF(AND(W98='Meter Schedule List'!$BC$52),VLOOKUP(AC98,'Meter Schedule List'!$Q$54:$BC$68,39,FALSE),IF(AC98="","")))))</f>
        <v/>
      </c>
      <c r="AO98" s="418"/>
      <c r="AP98" s="502" t="s">
        <v>465</v>
      </c>
      <c r="AQ98" s="503"/>
      <c r="AR98" s="503"/>
      <c r="AS98" s="503"/>
      <c r="AT98" s="503"/>
      <c r="AU98" s="503"/>
      <c r="AV98" s="504"/>
      <c r="AW98" s="359"/>
    </row>
    <row r="99" spans="1:50" ht="15.75" customHeight="1" x14ac:dyDescent="0.3">
      <c r="A99" s="181"/>
      <c r="B99" s="149" t="s">
        <v>460</v>
      </c>
      <c r="C99" s="72"/>
      <c r="D99" s="72"/>
      <c r="E99" s="72"/>
      <c r="F99" s="72"/>
      <c r="G99" s="72"/>
      <c r="H99" s="72"/>
      <c r="I99" s="72"/>
      <c r="J99" s="72"/>
      <c r="K99" s="72"/>
      <c r="L99" s="72"/>
      <c r="M99" s="220"/>
      <c r="N99" s="76"/>
      <c r="O99" s="419"/>
      <c r="P99" s="420"/>
      <c r="Q99" s="419"/>
      <c r="R99" s="421"/>
      <c r="S99" s="420"/>
      <c r="T99" s="422"/>
      <c r="U99" s="423"/>
      <c r="V99" s="424"/>
      <c r="W99" s="425"/>
      <c r="X99" s="426"/>
      <c r="Y99" s="427"/>
      <c r="Z99" s="428"/>
      <c r="AA99" s="139"/>
      <c r="AB99" s="138" t="str">
        <f>IF(W99="Water &amp; Sewer",VLOOKUP(AC99,'Meter Schedule List'!$Q$54:$AM$62,18,FALSE),IF(W99="Water Only",VLOOKUP(AC99,'Meter Schedule List'!$Q$54:$AM$62,18,FALSE),IF(W99="Sub-meter",VLOOKUP(AC99,'Meter Schedule List'!$Q$54:$AM$62,20,FALSE),IF(W99="Sewer Only",VLOOKUP(AC99,'Meter Schedule List'!$Q$54:$AM$62,18,FALSE),IF(W99="","")))))</f>
        <v/>
      </c>
      <c r="AC99" s="371" t="str">
        <f>IF(AND(W99="Water &amp; Sewer",AA99&lt;='Meter Schedule List'!$AD$54),"5/8-Inch",IF(AND(W99="Water Only",AA99&lt;='Meter Schedule List'!$AD$54),"5/8-Inch",IF(AND(W99="Sub-meter",AA99&lt;='Meter Schedule List'!$AD$54),"5/8-Inch",IF(AND(W99="Water &amp; Sewer",AA99&lt;='Meter Schedule List'!$AD$55),"1-Inch",IF(AND(W99="Water Only",AA99&lt;='Meter Schedule List'!$AD$55),"1-Inch",IF(AND(W99="Sub-meter",AA99&lt;='Meter Schedule List'!$AD$55),"1-Inch",IF(AND(W99="Water &amp; Sewer",AA99&lt;='Meter Schedule List'!$AD$56),"1.5-Inch",IF(AND(W99="Water Only",AA99&lt;='Meter Schedule List'!$AD$56),"1.5-Inch",IF(AND(W99="Sub-meter",AA99&lt;='Meter Schedule List'!$AD$56),"1.5-Inch",IF(AND(W99="Water &amp; Sewer",AA99&lt;='Meter Schedule List'!$AD$57),"2-Inch",IF(AND(W99="Water Only",AA99&lt;='Meter Schedule List'!$AD$57),"2-Inch",IF(AND(W99="Sub-meter",AA99&lt;='Meter Schedule List'!$AD$57),"2-Inch",IF(AND(W99="Water &amp; Sewer",AA99&lt;='Meter Schedule List'!$AD$58),"3-Inch",IF(AND(W99="Water Only",AA99&lt;='Meter Schedule List'!$AD$58),"3-Inch",IF(AND(W99="Sub-meter",AA99&lt;='Meter Schedule List'!$AD$58),"3-Inch",IF(AND(W99="Sewer Only",AA99&lt;='Meter Schedule List'!$AD$63),"3-Inch",IF(AND(W99="Water &amp; Sewer",AA99&lt;='Meter Schedule List'!$AD$59),"4-Inch",IF(AND(W99="Water Only",AA99&lt;='Meter Schedule List'!$AD$59),"4-Inch",IF(AND(W99="Sub-meter",AA99&lt;='Meter Schedule List'!$AD$59),"4-Inch",IF(AND(W99="Sewer Only",AA99&lt;='Meter Schedule List'!$AD$64),"4-Inch",IF(AND(W99="Water &amp; Sewer",AA99&lt;='Meter Schedule List'!$AD$60),"6-Inch",IF(AND(W99="Water Only",AA99&lt;='Meter Schedule List'!$AD$60),"6-Inch",IF(AND(W99="Sub-meter",AA99&lt;='Meter Schedule List'!$AD$60),"6-Inch",IF(AND(W99="Sewer Only",AA99&lt;='Meter Schedule List'!$AD$65),"6-Inch",IF(AND(W99="Water &amp; Sewer",AA99&lt;='Meter Schedule List'!$AD$61),"8-Inch",IF(AND(W99="Water Only",AA99&lt;='Meter Schedule List'!$AD$61),"8-Inch",IF(AND(W99="Sub-meter",AA99&lt;='Meter Schedule List'!$AD$61),"8-Inch",IF(AND(W99="Sewer Only",AA99&lt;='Meter Schedule List'!$AD$66),"8-Inch",IF(AND(W99="Water &amp; Sewer",AA99&lt;='Meter Schedule List'!$AD$62),"10-Inch",IF(AND(W99="Water Only",AA99&lt;='Meter Schedule List'!$AD$62),"10-Inch",IF(AND(W99="Sub-meter",AA99&lt;='Meter Schedule List'!$AD$62),"10-Inch",IF(AND(W99="Sewer Only",AA99&lt;='Meter Schedule List'!$AD$67),"10-Inch",IF(AND(W99="Sewer Only",AA99&lt;='Meter Schedule List'!$AD$68),"12-Inch",IF(W99="",""))))))))))))))))))))))))))))))))))</f>
        <v/>
      </c>
      <c r="AD99" s="492" t="str">
        <f>IF(AND(W99='Meter Schedule List'!$S$54),VLOOKUP(AC99,'Meter Schedule List'!$Q$54:$AD$68,2,FALSE),IF(AND(W99='Meter Schedule List'!$T$54),VLOOKUP(AC99,'Meter Schedule List'!$Q$54:$AD$68,2,FALSE),IF(AND(W99='Meter Schedule List'!$V$54),VLOOKUP(AC99,'Meter Schedule List'!$Q$54:$AD$68,2,FALSE),IF(AND(W99='Meter Schedule List'!$U$54),VLOOKUP(AC99,'Meter Schedule List'!$Q$63:$AD$68,2,FALSE),IF(W99="","")))))</f>
        <v/>
      </c>
      <c r="AE99" s="493"/>
      <c r="AF99" s="494" t="str">
        <f>IF(AND(W99='Meter Schedule List'!$S$54),VLOOKUP(AC99,'Meter Schedule List'!$Q$54:$AD$68,8,FALSE),IF(AND(W99='Meter Schedule List'!$T$54),VLOOKUP(AC99,'Meter Schedule List'!$Q$54:$AD$68,8,FALSE),IF(AND(W99='Meter Schedule List'!$V$54),VLOOKUP(AC99,'Meter Schedule List'!$Q$54:$AD$68,8,FALSE),IF(AND(W99='Meter Schedule List'!$U$54),VLOOKUP(AC99,'Meter Schedule List'!$Q$63:$AD$68,8,FALSE),IF(W99="","")))))</f>
        <v/>
      </c>
      <c r="AG99" s="495"/>
      <c r="AH99" s="390" t="str">
        <f>IF(AND(W99='Meter Schedule List'!$S$54),VLOOKUP(AC99,'Meter Schedule List'!$Q$54:$AD$68,9,FALSE),IF(AND(W99='Meter Schedule List'!$T$54),VLOOKUP(AC99,'Meter Schedule List'!$Q$54:$AD$68,9,FALSE),IF(AND(W99='Meter Schedule List'!$V$54),VLOOKUP(AC99,'Meter Schedule List'!$Q$54:$AD$68,9,FALSE),IF(AND(W99='Meter Schedule List'!$U$54),VLOOKUP(AC99,'Meter Schedule List'!$Q$63:$AD$68,9,FALSE),IF(W99="","")))))</f>
        <v/>
      </c>
      <c r="AI99" s="390" t="str">
        <f>IF(AND(W99='Meter Schedule List'!$S$54),VLOOKUP(AC99,'Meter Schedule List'!$Q$54:$AD$68,14,FALSE),IF(AND(W99='Meter Schedule List'!$T$54),VLOOKUP(AC99,'Meter Schedule List'!$Q$54:$AD$68,14,FALSE),IF(AND(W99='Meter Schedule List'!$V$54),VLOOKUP(AC99,'Meter Schedule List'!$Q$54:$AD$68,14,FALSE),IF(AND(W99='Meter Schedule List'!$U$54),VLOOKUP(AC99,'Meter Schedule List'!$Q$63:$AD$68,14,FALSE),IF(W99="","")))))</f>
        <v/>
      </c>
      <c r="AJ99" s="393" t="str">
        <f>IF(AND(W99='Meter Schedule List'!$AL$52),VLOOKUP(AC99,'Meter Schedule List'!$Q$54:$AO$68,22,FALSE)*AB99,IF(AND(W99='Meter Schedule List'!$AM$52),VLOOKUP(AC99,'Meter Schedule List'!$Q$54:$AO$68,23,FALSE)*AB99,IF(AND(W99='Meter Schedule List'!$AN$52),VLOOKUP(AC99,'Meter Schedule List'!$Q$63:$AO$68,24,FALSE)*AB99,IF(AND(W99='Meter Schedule List'!$AO$52),VLOOKUP(AC99,'Meter Schedule List'!$Q$54:$AO$68,25,FALSE),IF(AC99="","")))))</f>
        <v/>
      </c>
      <c r="AK99" s="394"/>
      <c r="AL99" s="393" t="str">
        <f>IF(AND(W99='Meter Schedule List'!$AS$52),VLOOKUP(AC99,'Meter Schedule List'!$Q$54:$AV$68,29,FALSE)*AB99,IF(AND(W99='Meter Schedule List'!$AT$52),VLOOKUP(AC99,'Meter Schedule List'!$Q$54:$AV$68,30,FALSE)*AB99,IF(AND(W99='Meter Schedule List'!$AU$52),VLOOKUP(AC99,'Meter Schedule List'!$Q$63:$AV$68,31,FALSE)*AB99,IF(AND(W99='Meter Schedule List'!$AV$52),VLOOKUP(AC99,'Meter Schedule List'!$Q$54:$AV$68,32,FALSE),IF(AC99="","")))))</f>
        <v/>
      </c>
      <c r="AM99" s="394"/>
      <c r="AN99" s="417" t="str">
        <f>IF(AND(W99='Meter Schedule List'!$AZ$52),VLOOKUP(AC99,'Meter Schedule List'!$Q$54:$BC$68,36,FALSE)*AB99,IF(AND(W99='Meter Schedule List'!$BA$52),VLOOKUP(AC99,'Meter Schedule List'!$Q$54:$BC$68,37,FALSE)*AB99,IF(AND(W99='Meter Schedule List'!$BB$52),VLOOKUP(AC99,'Meter Schedule List'!$Q$63:$BC$68,38,FALSE)*AB99,IF(AND(W99='Meter Schedule List'!$BC$52),VLOOKUP(AC99,'Meter Schedule List'!$Q$54:$BC$68,39,FALSE),IF(AC99="","")))))</f>
        <v/>
      </c>
      <c r="AO99" s="418"/>
      <c r="AP99" s="505"/>
      <c r="AQ99" s="506"/>
      <c r="AR99" s="506"/>
      <c r="AS99" s="506"/>
      <c r="AT99" s="506"/>
      <c r="AU99" s="506"/>
      <c r="AV99" s="507"/>
      <c r="AW99" s="360"/>
    </row>
    <row r="100" spans="1:50" ht="15.75" customHeight="1" x14ac:dyDescent="0.3">
      <c r="A100" s="181"/>
      <c r="B100" s="150"/>
      <c r="C100" s="72"/>
      <c r="D100" s="72"/>
      <c r="E100" s="72"/>
      <c r="F100" s="72"/>
      <c r="G100" s="72"/>
      <c r="H100" s="72"/>
      <c r="I100" s="72"/>
      <c r="J100" s="72"/>
      <c r="K100" s="72"/>
      <c r="L100" s="72"/>
      <c r="M100" s="220"/>
      <c r="N100" s="76"/>
      <c r="O100" s="419"/>
      <c r="P100" s="420"/>
      <c r="Q100" s="419"/>
      <c r="R100" s="421"/>
      <c r="S100" s="420"/>
      <c r="T100" s="422"/>
      <c r="U100" s="423"/>
      <c r="V100" s="424"/>
      <c r="W100" s="425"/>
      <c r="X100" s="426"/>
      <c r="Y100" s="427"/>
      <c r="Z100" s="428"/>
      <c r="AA100" s="139"/>
      <c r="AB100" s="138" t="str">
        <f>IF(W100="Water &amp; Sewer",VLOOKUP(AC100,'Meter Schedule List'!$Q$54:$AM$62,18,FALSE),IF(W100="Water Only",VLOOKUP(AC100,'Meter Schedule List'!$Q$54:$AM$62,18,FALSE),IF(W100="Sub-meter",VLOOKUP(AC100,'Meter Schedule List'!$Q$54:$AM$62,20,FALSE),IF(W100="Sewer Only",VLOOKUP(AC100,'Meter Schedule List'!$Q$54:$AM$62,18,FALSE),IF(W100="","")))))</f>
        <v/>
      </c>
      <c r="AC100" s="371" t="str">
        <f>IF(AND(W100="Water &amp; Sewer",AA100&lt;='Meter Schedule List'!$AD$54),"5/8-Inch",IF(AND(W100="Water Only",AA100&lt;='Meter Schedule List'!$AD$54),"5/8-Inch",IF(AND(W100="Sub-meter",AA100&lt;='Meter Schedule List'!$AD$54),"5/8-Inch",IF(AND(W100="Water &amp; Sewer",AA100&lt;='Meter Schedule List'!$AD$55),"1-Inch",IF(AND(W100="Water Only",AA100&lt;='Meter Schedule List'!$AD$55),"1-Inch",IF(AND(W100="Sub-meter",AA100&lt;='Meter Schedule List'!$AD$55),"1-Inch",IF(AND(W100="Water &amp; Sewer",AA100&lt;='Meter Schedule List'!$AD$56),"1.5-Inch",IF(AND(W100="Water Only",AA100&lt;='Meter Schedule List'!$AD$56),"1.5-Inch",IF(AND(W100="Sub-meter",AA100&lt;='Meter Schedule List'!$AD$56),"1.5-Inch",IF(AND(W100="Water &amp; Sewer",AA100&lt;='Meter Schedule List'!$AD$57),"2-Inch",IF(AND(W100="Water Only",AA100&lt;='Meter Schedule List'!$AD$57),"2-Inch",IF(AND(W100="Sub-meter",AA100&lt;='Meter Schedule List'!$AD$57),"2-Inch",IF(AND(W100="Water &amp; Sewer",AA100&lt;='Meter Schedule List'!$AD$58),"3-Inch",IF(AND(W100="Water Only",AA100&lt;='Meter Schedule List'!$AD$58),"3-Inch",IF(AND(W100="Sub-meter",AA100&lt;='Meter Schedule List'!$AD$58),"3-Inch",IF(AND(W100="Sewer Only",AA100&lt;='Meter Schedule List'!$AD$63),"3-Inch",IF(AND(W100="Water &amp; Sewer",AA100&lt;='Meter Schedule List'!$AD$59),"4-Inch",IF(AND(W100="Water Only",AA100&lt;='Meter Schedule List'!$AD$59),"4-Inch",IF(AND(W100="Sub-meter",AA100&lt;='Meter Schedule List'!$AD$59),"4-Inch",IF(AND(W100="Sewer Only",AA100&lt;='Meter Schedule List'!$AD$64),"4-Inch",IF(AND(W100="Water &amp; Sewer",AA100&lt;='Meter Schedule List'!$AD$60),"6-Inch",IF(AND(W100="Water Only",AA100&lt;='Meter Schedule List'!$AD$60),"6-Inch",IF(AND(W100="Sub-meter",AA100&lt;='Meter Schedule List'!$AD$60),"6-Inch",IF(AND(W100="Sewer Only",AA100&lt;='Meter Schedule List'!$AD$65),"6-Inch",IF(AND(W100="Water &amp; Sewer",AA100&lt;='Meter Schedule List'!$AD$61),"8-Inch",IF(AND(W100="Water Only",AA100&lt;='Meter Schedule List'!$AD$61),"8-Inch",IF(AND(W100="Sub-meter",AA100&lt;='Meter Schedule List'!$AD$61),"8-Inch",IF(AND(W100="Sewer Only",AA100&lt;='Meter Schedule List'!$AD$66),"8-Inch",IF(AND(W100="Water &amp; Sewer",AA100&lt;='Meter Schedule List'!$AD$62),"10-Inch",IF(AND(W100="Water Only",AA100&lt;='Meter Schedule List'!$AD$62),"10-Inch",IF(AND(W100="Sub-meter",AA100&lt;='Meter Schedule List'!$AD$62),"10-Inch",IF(AND(W100="Sewer Only",AA100&lt;='Meter Schedule List'!$AD$67),"10-Inch",IF(AND(W100="Sewer Only",AA100&lt;='Meter Schedule List'!$AD$68),"12-Inch",IF(W100="",""))))))))))))))))))))))))))))))))))</f>
        <v/>
      </c>
      <c r="AD100" s="492" t="str">
        <f>IF(AND(W100='Meter Schedule List'!$S$54),VLOOKUP(AC100,'Meter Schedule List'!$Q$54:$AD$68,2,FALSE),IF(AND(W100='Meter Schedule List'!$T$54),VLOOKUP(AC100,'Meter Schedule List'!$Q$54:$AD$68,2,FALSE),IF(AND(W100='Meter Schedule List'!$V$54),VLOOKUP(AC100,'Meter Schedule List'!$Q$54:$AD$68,2,FALSE),IF(AND(W100='Meter Schedule List'!$U$54),VLOOKUP(AC100,'Meter Schedule List'!$Q$63:$AD$68,2,FALSE),IF(W100="","")))))</f>
        <v/>
      </c>
      <c r="AE100" s="493"/>
      <c r="AF100" s="494" t="str">
        <f>IF(AND(W100='Meter Schedule List'!$S$54),VLOOKUP(AC100,'Meter Schedule List'!$Q$54:$AD$68,8,FALSE),IF(AND(W100='Meter Schedule List'!$T$54),VLOOKUP(AC100,'Meter Schedule List'!$Q$54:$AD$68,8,FALSE),IF(AND(W100='Meter Schedule List'!$V$54),VLOOKUP(AC100,'Meter Schedule List'!$Q$54:$AD$68,8,FALSE),IF(AND(W100='Meter Schedule List'!$U$54),VLOOKUP(AC100,'Meter Schedule List'!$Q$63:$AD$68,8,FALSE),IF(W100="","")))))</f>
        <v/>
      </c>
      <c r="AG100" s="495"/>
      <c r="AH100" s="390" t="str">
        <f>IF(AND(W100='Meter Schedule List'!$S$54),VLOOKUP(AC100,'Meter Schedule List'!$Q$54:$AD$68,9,FALSE),IF(AND(W100='Meter Schedule List'!$T$54),VLOOKUP(AC100,'Meter Schedule List'!$Q$54:$AD$68,9,FALSE),IF(AND(W100='Meter Schedule List'!$V$54),VLOOKUP(AC100,'Meter Schedule List'!$Q$54:$AD$68,9,FALSE),IF(AND(W100='Meter Schedule List'!$U$54),VLOOKUP(AC100,'Meter Schedule List'!$Q$63:$AD$68,9,FALSE),IF(W100="","")))))</f>
        <v/>
      </c>
      <c r="AI100" s="390" t="str">
        <f>IF(AND(W100='Meter Schedule List'!$S$54),VLOOKUP(AC100,'Meter Schedule List'!$Q$54:$AD$68,14,FALSE),IF(AND(W100='Meter Schedule List'!$T$54),VLOOKUP(AC100,'Meter Schedule List'!$Q$54:$AD$68,14,FALSE),IF(AND(W100='Meter Schedule List'!$V$54),VLOOKUP(AC100,'Meter Schedule List'!$Q$54:$AD$68,14,FALSE),IF(AND(W100='Meter Schedule List'!$U$54),VLOOKUP(AC100,'Meter Schedule List'!$Q$63:$AD$68,14,FALSE),IF(W100="","")))))</f>
        <v/>
      </c>
      <c r="AJ100" s="393" t="str">
        <f>IF(AND(W100='Meter Schedule List'!$AL$52),VLOOKUP(AC100,'Meter Schedule List'!$Q$54:$AO$68,22,FALSE)*AB100,IF(AND(W100='Meter Schedule List'!$AM$52),VLOOKUP(AC100,'Meter Schedule List'!$Q$54:$AO$68,23,FALSE)*AB100,IF(AND(W100='Meter Schedule List'!$AN$52),VLOOKUP(AC100,'Meter Schedule List'!$Q$63:$AO$68,24,FALSE)*AB100,IF(AND(W100='Meter Schedule List'!$AO$52),VLOOKUP(AC100,'Meter Schedule List'!$Q$54:$AO$68,25,FALSE),IF(AC100="","")))))</f>
        <v/>
      </c>
      <c r="AK100" s="394"/>
      <c r="AL100" s="393" t="str">
        <f>IF(AND(W100='Meter Schedule List'!$AS$52),VLOOKUP(AC100,'Meter Schedule List'!$Q$54:$AV$68,29,FALSE)*AB100,IF(AND(W100='Meter Schedule List'!$AT$52),VLOOKUP(AC100,'Meter Schedule List'!$Q$54:$AV$68,30,FALSE)*AB100,IF(AND(W100='Meter Schedule List'!$AU$52),VLOOKUP(AC100,'Meter Schedule List'!$Q$63:$AV$68,31,FALSE)*AB100,IF(AND(W100='Meter Schedule List'!$AV$52),VLOOKUP(AC100,'Meter Schedule List'!$Q$54:$AV$68,32,FALSE),IF(AC100="","")))))</f>
        <v/>
      </c>
      <c r="AM100" s="394"/>
      <c r="AN100" s="417" t="str">
        <f>IF(AND(W100='Meter Schedule List'!$AZ$52),VLOOKUP(AC100,'Meter Schedule List'!$Q$54:$BC$68,36,FALSE)*AB100,IF(AND(W100='Meter Schedule List'!$BA$52),VLOOKUP(AC100,'Meter Schedule List'!$Q$54:$BC$68,37,FALSE)*AB100,IF(AND(W100='Meter Schedule List'!$BB$52),VLOOKUP(AC100,'Meter Schedule List'!$Q$63:$BC$68,38,FALSE)*AB100,IF(AND(W100='Meter Schedule List'!$BC$52),VLOOKUP(AC100,'Meter Schedule List'!$Q$54:$BC$68,39,FALSE),IF(AC100="","")))))</f>
        <v/>
      </c>
      <c r="AO100" s="418"/>
      <c r="AP100" s="362"/>
      <c r="AQ100" s="229"/>
      <c r="AR100" s="229"/>
      <c r="AS100" s="229"/>
      <c r="AT100" s="229"/>
      <c r="AU100" s="229"/>
      <c r="AV100" s="230"/>
      <c r="AW100" s="230"/>
    </row>
    <row r="101" spans="1:50" x14ac:dyDescent="0.3">
      <c r="A101" s="253"/>
      <c r="B101" s="149"/>
      <c r="C101" s="72"/>
      <c r="D101" s="72"/>
      <c r="E101" s="72"/>
      <c r="F101" s="72"/>
      <c r="G101" s="72"/>
      <c r="H101" s="72"/>
      <c r="I101" s="72"/>
      <c r="J101" s="72"/>
      <c r="K101" s="72"/>
      <c r="L101" s="72"/>
      <c r="M101" s="220"/>
      <c r="N101" s="76"/>
      <c r="O101" s="419"/>
      <c r="P101" s="420"/>
      <c r="Q101" s="419"/>
      <c r="R101" s="421"/>
      <c r="S101" s="420"/>
      <c r="T101" s="422"/>
      <c r="U101" s="423"/>
      <c r="V101" s="424"/>
      <c r="W101" s="425"/>
      <c r="X101" s="426"/>
      <c r="Y101" s="427"/>
      <c r="Z101" s="428"/>
      <c r="AA101" s="139"/>
      <c r="AB101" s="138" t="str">
        <f>IF(W101="Water &amp; Sewer",VLOOKUP(AC101,'Meter Schedule List'!$Q$54:$AM$62,18,FALSE),IF(W101="Water Only",VLOOKUP(AC101,'Meter Schedule List'!$Q$54:$AM$62,18,FALSE),IF(W101="Sub-meter",VLOOKUP(AC101,'Meter Schedule List'!$Q$54:$AM$62,20,FALSE),IF(W101="Sewer Only",VLOOKUP(AC101,'Meter Schedule List'!$Q$54:$AM$62,18,FALSE),IF(W101="","")))))</f>
        <v/>
      </c>
      <c r="AC101" s="371" t="str">
        <f>IF(AND(W101="Water &amp; Sewer",AA101&lt;='Meter Schedule List'!$AD$54),"5/8-Inch",IF(AND(W101="Water Only",AA101&lt;='Meter Schedule List'!$AD$54),"5/8-Inch",IF(AND(W101="Sub-meter",AA101&lt;='Meter Schedule List'!$AD$54),"5/8-Inch",IF(AND(W101="Water &amp; Sewer",AA101&lt;='Meter Schedule List'!$AD$55),"1-Inch",IF(AND(W101="Water Only",AA101&lt;='Meter Schedule List'!$AD$55),"1-Inch",IF(AND(W101="Sub-meter",AA101&lt;='Meter Schedule List'!$AD$55),"1-Inch",IF(AND(W101="Water &amp; Sewer",AA101&lt;='Meter Schedule List'!$AD$56),"1.5-Inch",IF(AND(W101="Water Only",AA101&lt;='Meter Schedule List'!$AD$56),"1.5-Inch",IF(AND(W101="Sub-meter",AA101&lt;='Meter Schedule List'!$AD$56),"1.5-Inch",IF(AND(W101="Water &amp; Sewer",AA101&lt;='Meter Schedule List'!$AD$57),"2-Inch",IF(AND(W101="Water Only",AA101&lt;='Meter Schedule List'!$AD$57),"2-Inch",IF(AND(W101="Sub-meter",AA101&lt;='Meter Schedule List'!$AD$57),"2-Inch",IF(AND(W101="Water &amp; Sewer",AA101&lt;='Meter Schedule List'!$AD$58),"3-Inch",IF(AND(W101="Water Only",AA101&lt;='Meter Schedule List'!$AD$58),"3-Inch",IF(AND(W101="Sub-meter",AA101&lt;='Meter Schedule List'!$AD$58),"3-Inch",IF(AND(W101="Sewer Only",AA101&lt;='Meter Schedule List'!$AD$63),"3-Inch",IF(AND(W101="Water &amp; Sewer",AA101&lt;='Meter Schedule List'!$AD$59),"4-Inch",IF(AND(W101="Water Only",AA101&lt;='Meter Schedule List'!$AD$59),"4-Inch",IF(AND(W101="Sub-meter",AA101&lt;='Meter Schedule List'!$AD$59),"4-Inch",IF(AND(W101="Sewer Only",AA101&lt;='Meter Schedule List'!$AD$64),"4-Inch",IF(AND(W101="Water &amp; Sewer",AA101&lt;='Meter Schedule List'!$AD$60),"6-Inch",IF(AND(W101="Water Only",AA101&lt;='Meter Schedule List'!$AD$60),"6-Inch",IF(AND(W101="Sub-meter",AA101&lt;='Meter Schedule List'!$AD$60),"6-Inch",IF(AND(W101="Sewer Only",AA101&lt;='Meter Schedule List'!$AD$65),"6-Inch",IF(AND(W101="Water &amp; Sewer",AA101&lt;='Meter Schedule List'!$AD$61),"8-Inch",IF(AND(W101="Water Only",AA101&lt;='Meter Schedule List'!$AD$61),"8-Inch",IF(AND(W101="Sub-meter",AA101&lt;='Meter Schedule List'!$AD$61),"8-Inch",IF(AND(W101="Sewer Only",AA101&lt;='Meter Schedule List'!$AD$66),"8-Inch",IF(AND(W101="Water &amp; Sewer",AA101&lt;='Meter Schedule List'!$AD$62),"10-Inch",IF(AND(W101="Water Only",AA101&lt;='Meter Schedule List'!$AD$62),"10-Inch",IF(AND(W101="Sub-meter",AA101&lt;='Meter Schedule List'!$AD$62),"10-Inch",IF(AND(W101="Sewer Only",AA101&lt;='Meter Schedule List'!$AD$67),"10-Inch",IF(AND(W101="Sewer Only",AA101&lt;='Meter Schedule List'!$AD$68),"12-Inch",IF(W101="",""))))))))))))))))))))))))))))))))))</f>
        <v/>
      </c>
      <c r="AD101" s="492" t="str">
        <f>IF(AND(W101='Meter Schedule List'!$S$54),VLOOKUP(AC101,'Meter Schedule List'!$Q$54:$AD$68,2,FALSE),IF(AND(W101='Meter Schedule List'!$T$54),VLOOKUP(AC101,'Meter Schedule List'!$Q$54:$AD$68,2,FALSE),IF(AND(W101='Meter Schedule List'!$V$54),VLOOKUP(AC101,'Meter Schedule List'!$Q$54:$AD$68,2,FALSE),IF(AND(W101='Meter Schedule List'!$U$54),VLOOKUP(AC101,'Meter Schedule List'!$Q$63:$AD$68,2,FALSE),IF(W101="","")))))</f>
        <v/>
      </c>
      <c r="AE101" s="493"/>
      <c r="AF101" s="494" t="str">
        <f>IF(AND(W101='Meter Schedule List'!$S$54),VLOOKUP(AC101,'Meter Schedule List'!$Q$54:$AD$68,8,FALSE),IF(AND(W101='Meter Schedule List'!$T$54),VLOOKUP(AC101,'Meter Schedule List'!$Q$54:$AD$68,8,FALSE),IF(AND(W101='Meter Schedule List'!$V$54),VLOOKUP(AC101,'Meter Schedule List'!$Q$54:$AD$68,8,FALSE),IF(AND(W101='Meter Schedule List'!$U$54),VLOOKUP(AC101,'Meter Schedule List'!$Q$63:$AD$68,8,FALSE),IF(W101="","")))))</f>
        <v/>
      </c>
      <c r="AG101" s="495"/>
      <c r="AH101" s="390" t="str">
        <f>IF(AND(W101='Meter Schedule List'!$S$54),VLOOKUP(AC101,'Meter Schedule List'!$Q$54:$AD$68,9,FALSE),IF(AND(W101='Meter Schedule List'!$T$54),VLOOKUP(AC101,'Meter Schedule List'!$Q$54:$AD$68,9,FALSE),IF(AND(W101='Meter Schedule List'!$V$54),VLOOKUP(AC101,'Meter Schedule List'!$Q$54:$AD$68,9,FALSE),IF(AND(W101='Meter Schedule List'!$U$54),VLOOKUP(AC101,'Meter Schedule List'!$Q$63:$AD$68,9,FALSE),IF(W101="","")))))</f>
        <v/>
      </c>
      <c r="AI101" s="390" t="str">
        <f>IF(AND(W101='Meter Schedule List'!$S$54),VLOOKUP(AC101,'Meter Schedule List'!$Q$54:$AD$68,14,FALSE),IF(AND(W101='Meter Schedule List'!$T$54),VLOOKUP(AC101,'Meter Schedule List'!$Q$54:$AD$68,14,FALSE),IF(AND(W101='Meter Schedule List'!$V$54),VLOOKUP(AC101,'Meter Schedule List'!$Q$54:$AD$68,14,FALSE),IF(AND(W101='Meter Schedule List'!$U$54),VLOOKUP(AC101,'Meter Schedule List'!$Q$63:$AD$68,14,FALSE),IF(W101="","")))))</f>
        <v/>
      </c>
      <c r="AJ101" s="393" t="str">
        <f>IF(AND(W101='Meter Schedule List'!$AL$52),VLOOKUP(AC101,'Meter Schedule List'!$Q$54:$AO$68,22,FALSE)*AB101,IF(AND(W101='Meter Schedule List'!$AM$52),VLOOKUP(AC101,'Meter Schedule List'!$Q$54:$AO$68,23,FALSE)*AB101,IF(AND(W101='Meter Schedule List'!$AN$52),VLOOKUP(AC101,'Meter Schedule List'!$Q$63:$AO$68,24,FALSE)*AB101,IF(AND(W101='Meter Schedule List'!$AO$52),VLOOKUP(AC101,'Meter Schedule List'!$Q$54:$AO$68,25,FALSE),IF(AC101="","")))))</f>
        <v/>
      </c>
      <c r="AK101" s="394"/>
      <c r="AL101" s="393" t="str">
        <f>IF(AND(W101='Meter Schedule List'!$AS$52),VLOOKUP(AC101,'Meter Schedule List'!$Q$54:$AV$68,29,FALSE)*AB101,IF(AND(W101='Meter Schedule List'!$AT$52),VLOOKUP(AC101,'Meter Schedule List'!$Q$54:$AV$68,30,FALSE)*AB101,IF(AND(W101='Meter Schedule List'!$AU$52),VLOOKUP(AC101,'Meter Schedule List'!$Q$63:$AV$68,31,FALSE)*AB101,IF(AND(W101='Meter Schedule List'!$AV$52),VLOOKUP(AC101,'Meter Schedule List'!$Q$54:$AV$68,32,FALSE),IF(AC101="","")))))</f>
        <v/>
      </c>
      <c r="AM101" s="394"/>
      <c r="AN101" s="417" t="str">
        <f>IF(AND(W101='Meter Schedule List'!$AZ$52),VLOOKUP(AC101,'Meter Schedule List'!$Q$54:$BC$68,36,FALSE)*AB101,IF(AND(W101='Meter Schedule List'!$BA$52),VLOOKUP(AC101,'Meter Schedule List'!$Q$54:$BC$68,37,FALSE)*AB101,IF(AND(W101='Meter Schedule List'!$BB$52),VLOOKUP(AC101,'Meter Schedule List'!$Q$63:$BC$68,38,FALSE)*AB101,IF(AND(W101='Meter Schedule List'!$BC$52),VLOOKUP(AC101,'Meter Schedule List'!$Q$54:$BC$68,39,FALSE),IF(AC101="","")))))</f>
        <v/>
      </c>
      <c r="AO101" s="418"/>
      <c r="AP101" s="181"/>
      <c r="AQ101" s="72"/>
      <c r="AR101" s="72"/>
      <c r="AS101" s="72"/>
      <c r="AT101" s="72"/>
      <c r="AU101" s="72"/>
      <c r="AV101" s="182"/>
      <c r="AW101" s="182"/>
    </row>
    <row r="102" spans="1:50" ht="15.75" customHeight="1" x14ac:dyDescent="0.3">
      <c r="A102" s="253"/>
      <c r="B102" s="149" t="s">
        <v>341</v>
      </c>
      <c r="C102" s="143"/>
      <c r="D102" s="143"/>
      <c r="E102" s="143"/>
      <c r="F102" s="143"/>
      <c r="G102" s="143"/>
      <c r="H102" s="143"/>
      <c r="I102" s="143"/>
      <c r="J102" s="143"/>
      <c r="K102" s="143"/>
      <c r="L102" s="143"/>
      <c r="M102" s="220"/>
      <c r="N102" s="76"/>
      <c r="O102" s="233" t="s">
        <v>317</v>
      </c>
      <c r="P102" s="283">
        <v>1</v>
      </c>
      <c r="Q102" s="284" t="s">
        <v>327</v>
      </c>
      <c r="R102" s="231"/>
      <c r="S102" s="231"/>
      <c r="T102" s="231"/>
      <c r="U102" s="231"/>
      <c r="V102" s="231"/>
      <c r="W102" s="231"/>
      <c r="X102" s="231"/>
      <c r="Y102" s="231"/>
      <c r="Z102" s="231"/>
      <c r="AA102" s="231"/>
      <c r="AB102" s="231"/>
      <c r="AC102" s="231"/>
      <c r="AD102" s="231"/>
      <c r="AE102" s="231"/>
      <c r="AF102" s="231"/>
      <c r="AG102" s="231"/>
      <c r="AH102" s="231"/>
      <c r="AI102" s="231"/>
      <c r="AJ102" s="231"/>
      <c r="AK102" s="231"/>
      <c r="AL102" s="167"/>
      <c r="AM102" s="167"/>
      <c r="AN102" s="72"/>
      <c r="AO102" s="72"/>
      <c r="AP102" s="181"/>
      <c r="AQ102" s="72"/>
      <c r="AR102" s="72"/>
      <c r="AS102" s="72"/>
      <c r="AT102" s="72"/>
      <c r="AU102" s="72"/>
      <c r="AV102" s="182"/>
      <c r="AW102" s="182"/>
    </row>
    <row r="103" spans="1:50" ht="15.75" customHeight="1" x14ac:dyDescent="0.3">
      <c r="A103" s="181"/>
      <c r="B103" s="72"/>
      <c r="C103" s="72"/>
      <c r="D103" s="72"/>
      <c r="E103" s="72"/>
      <c r="F103" s="72"/>
      <c r="G103" s="72"/>
      <c r="H103" s="72"/>
      <c r="I103" s="72"/>
      <c r="J103" s="72"/>
      <c r="K103" s="72"/>
      <c r="L103" s="72"/>
      <c r="M103" s="220"/>
      <c r="N103" s="76"/>
      <c r="O103" s="75"/>
      <c r="P103" s="285">
        <v>2</v>
      </c>
      <c r="Q103" s="284" t="s">
        <v>315</v>
      </c>
      <c r="R103" s="232"/>
      <c r="S103" s="232"/>
      <c r="T103" s="232"/>
      <c r="U103" s="232"/>
      <c r="V103" s="232"/>
      <c r="W103" s="232"/>
      <c r="X103" s="232"/>
      <c r="Y103" s="232"/>
      <c r="Z103" s="232"/>
      <c r="AA103" s="232"/>
      <c r="AB103" s="232"/>
      <c r="AC103" s="232"/>
      <c r="AD103" s="232"/>
      <c r="AE103" s="232"/>
      <c r="AF103" s="232"/>
      <c r="AG103" s="232"/>
      <c r="AH103" s="232"/>
      <c r="AI103" s="232"/>
      <c r="AJ103" s="232"/>
      <c r="AK103" s="232"/>
      <c r="AL103" s="72"/>
      <c r="AM103" s="72"/>
      <c r="AN103" s="72"/>
      <c r="AO103" s="72"/>
      <c r="AP103" s="181"/>
      <c r="AQ103" s="72"/>
      <c r="AR103" s="487" t="s">
        <v>308</v>
      </c>
      <c r="AS103" s="487"/>
      <c r="AT103" s="488">
        <v>1</v>
      </c>
      <c r="AU103" s="487" t="s">
        <v>309</v>
      </c>
      <c r="AV103" s="490">
        <v>2</v>
      </c>
      <c r="AW103" s="182"/>
    </row>
    <row r="104" spans="1:50" ht="14.25" customHeight="1" x14ac:dyDescent="0.3">
      <c r="A104" s="181"/>
      <c r="B104" s="146"/>
      <c r="C104" s="143"/>
      <c r="D104" s="143"/>
      <c r="E104" s="143"/>
      <c r="F104" s="143"/>
      <c r="G104" s="143"/>
      <c r="H104" s="143"/>
      <c r="I104" s="143"/>
      <c r="J104" s="143"/>
      <c r="K104" s="143"/>
      <c r="L104" s="143"/>
      <c r="M104" s="220"/>
      <c r="N104" s="76"/>
      <c r="P104" s="285">
        <v>3</v>
      </c>
      <c r="Q104" s="285" t="s">
        <v>463</v>
      </c>
      <c r="AK104" s="72"/>
      <c r="AL104" s="72"/>
      <c r="AM104" s="72"/>
      <c r="AN104" s="72"/>
      <c r="AO104" s="72"/>
      <c r="AP104" s="335"/>
      <c r="AQ104" s="72"/>
      <c r="AR104" s="487"/>
      <c r="AS104" s="487"/>
      <c r="AT104" s="489"/>
      <c r="AU104" s="487"/>
      <c r="AV104" s="491"/>
      <c r="AW104" s="182"/>
    </row>
    <row r="105" spans="1:50" ht="15.75" customHeight="1" thickBot="1" x14ac:dyDescent="0.35">
      <c r="A105" s="183"/>
      <c r="B105" s="194"/>
      <c r="C105" s="194"/>
      <c r="D105" s="194"/>
      <c r="E105" s="194"/>
      <c r="F105" s="194"/>
      <c r="G105" s="282" t="s">
        <v>295</v>
      </c>
      <c r="H105" s="194"/>
      <c r="I105" s="194"/>
      <c r="J105" s="194"/>
      <c r="K105" s="194"/>
      <c r="L105" s="194"/>
      <c r="M105" s="227"/>
      <c r="N105" s="255"/>
      <c r="O105" s="250"/>
      <c r="P105" s="286">
        <v>4</v>
      </c>
      <c r="Q105" s="288" t="s">
        <v>454</v>
      </c>
      <c r="R105" s="256"/>
      <c r="S105" s="256"/>
      <c r="T105" s="256"/>
      <c r="U105" s="256"/>
      <c r="V105" s="256"/>
      <c r="W105" s="256"/>
      <c r="X105" s="256"/>
      <c r="Y105" s="256"/>
      <c r="Z105" s="256"/>
      <c r="AA105" s="256"/>
      <c r="AB105" s="256"/>
      <c r="AC105" s="256"/>
      <c r="AD105" s="256"/>
      <c r="AE105" s="256"/>
      <c r="AF105" s="256"/>
      <c r="AG105" s="256"/>
      <c r="AH105" s="256"/>
      <c r="AI105" s="256"/>
      <c r="AJ105" s="256"/>
      <c r="AK105" s="256"/>
      <c r="AL105" s="184"/>
      <c r="AM105" s="184"/>
      <c r="AN105" s="184"/>
      <c r="AO105" s="185"/>
      <c r="AP105" s="336"/>
      <c r="AQ105" s="184"/>
      <c r="AR105" s="184"/>
      <c r="AS105" s="184"/>
      <c r="AT105" s="184"/>
      <c r="AU105" s="184"/>
      <c r="AV105" s="185"/>
      <c r="AW105" s="185"/>
    </row>
    <row r="106" spans="1:50" ht="16.2" thickTop="1" x14ac:dyDescent="0.3">
      <c r="A106" s="72"/>
      <c r="B106" s="21"/>
      <c r="C106" s="252"/>
      <c r="D106" s="72"/>
      <c r="E106" s="72"/>
      <c r="F106" s="72"/>
      <c r="G106" s="72"/>
      <c r="H106" s="72"/>
      <c r="I106" s="72"/>
      <c r="J106" s="72"/>
      <c r="K106" s="72"/>
      <c r="L106" s="72"/>
      <c r="M106" s="209"/>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row>
    <row r="107" spans="1:50" x14ac:dyDescent="0.3">
      <c r="A107" s="72"/>
      <c r="B107" s="21"/>
      <c r="C107" s="252"/>
      <c r="D107" s="72"/>
      <c r="E107" s="72"/>
      <c r="F107" s="72"/>
      <c r="G107" s="72"/>
      <c r="H107" s="72"/>
      <c r="I107" s="72"/>
      <c r="J107" s="72"/>
      <c r="K107" s="72"/>
      <c r="L107" s="72"/>
      <c r="M107" s="121"/>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146"/>
      <c r="AQ107" s="146"/>
      <c r="AR107" s="146"/>
      <c r="AS107" s="146"/>
      <c r="AT107" s="146"/>
      <c r="AU107" s="72"/>
      <c r="AV107" s="72"/>
      <c r="AW107" s="72"/>
      <c r="AX107" s="72"/>
    </row>
    <row r="108" spans="1:50" x14ac:dyDescent="0.3">
      <c r="B108" s="114"/>
      <c r="C108" s="252"/>
      <c r="N108" s="72"/>
    </row>
    <row r="109" spans="1:50" ht="90" customHeight="1" x14ac:dyDescent="0.3">
      <c r="C109" s="252"/>
      <c r="D109" s="21"/>
      <c r="E109" s="21"/>
      <c r="F109" s="21"/>
      <c r="G109" s="21"/>
      <c r="H109" s="21"/>
    </row>
    <row r="110" spans="1:50" x14ac:dyDescent="0.3">
      <c r="C110" s="252"/>
    </row>
    <row r="111" spans="1:50" x14ac:dyDescent="0.3">
      <c r="C111" s="252"/>
    </row>
  </sheetData>
  <mergeCells count="307">
    <mergeCell ref="T62:V62"/>
    <mergeCell ref="W61:X61"/>
    <mergeCell ref="W62:X62"/>
    <mergeCell ref="Y61:Z61"/>
    <mergeCell ref="Y62:Z62"/>
    <mergeCell ref="T52:AA53"/>
    <mergeCell ref="Y60:Z60"/>
    <mergeCell ref="W59:X59"/>
    <mergeCell ref="W60:X60"/>
    <mergeCell ref="Y57:Z57"/>
    <mergeCell ref="Y58:Z58"/>
    <mergeCell ref="Y59:Z59"/>
    <mergeCell ref="Y54:Z56"/>
    <mergeCell ref="AA54:AA56"/>
    <mergeCell ref="G83:K84"/>
    <mergeCell ref="W80:X80"/>
    <mergeCell ref="Y80:Z80"/>
    <mergeCell ref="Y83:Z83"/>
    <mergeCell ref="O82:P82"/>
    <mergeCell ref="Q82:S82"/>
    <mergeCell ref="T82:V82"/>
    <mergeCell ref="O84:P84"/>
    <mergeCell ref="Q84:S84"/>
    <mergeCell ref="T84:V84"/>
    <mergeCell ref="W84:X84"/>
    <mergeCell ref="Y84:Z84"/>
    <mergeCell ref="W82:X82"/>
    <mergeCell ref="Y82:Z82"/>
    <mergeCell ref="O83:P83"/>
    <mergeCell ref="Q83:S83"/>
    <mergeCell ref="T83:V83"/>
    <mergeCell ref="W83:X83"/>
    <mergeCell ref="O81:P81"/>
    <mergeCell ref="Q81:S81"/>
    <mergeCell ref="T81:V81"/>
    <mergeCell ref="W81:X81"/>
    <mergeCell ref="H2:L2"/>
    <mergeCell ref="H3:L3"/>
    <mergeCell ref="H4:L4"/>
    <mergeCell ref="H5:L6"/>
    <mergeCell ref="O80:P80"/>
    <mergeCell ref="Q80:S80"/>
    <mergeCell ref="T80:V80"/>
    <mergeCell ref="K52:L54"/>
    <mergeCell ref="I52:J54"/>
    <mergeCell ref="O26:Y29"/>
    <mergeCell ref="T64:V64"/>
    <mergeCell ref="O23:Y24"/>
    <mergeCell ref="Q60:S60"/>
    <mergeCell ref="T54:V56"/>
    <mergeCell ref="T57:V57"/>
    <mergeCell ref="T58:V58"/>
    <mergeCell ref="T59:V59"/>
    <mergeCell ref="T60:V60"/>
    <mergeCell ref="W54:X56"/>
    <mergeCell ref="W57:X57"/>
    <mergeCell ref="W58:X58"/>
    <mergeCell ref="Y64:Z64"/>
    <mergeCell ref="Y63:Z63"/>
    <mergeCell ref="O62:P62"/>
    <mergeCell ref="AN26:AV29"/>
    <mergeCell ref="O61:P61"/>
    <mergeCell ref="O54:P56"/>
    <mergeCell ref="O57:P57"/>
    <mergeCell ref="O58:P58"/>
    <mergeCell ref="O59:P59"/>
    <mergeCell ref="O60:P60"/>
    <mergeCell ref="Q54:S56"/>
    <mergeCell ref="Q57:S57"/>
    <mergeCell ref="Q58:S58"/>
    <mergeCell ref="Q59:S59"/>
    <mergeCell ref="Q61:S61"/>
    <mergeCell ref="AB54:AB56"/>
    <mergeCell ref="AC54:AC56"/>
    <mergeCell ref="AF54:AG56"/>
    <mergeCell ref="AF57:AG57"/>
    <mergeCell ref="AF58:AG58"/>
    <mergeCell ref="AF59:AG59"/>
    <mergeCell ref="AF60:AG60"/>
    <mergeCell ref="AF61:AG61"/>
    <mergeCell ref="AD54:AE56"/>
    <mergeCell ref="AN59:AV63"/>
    <mergeCell ref="Q62:S62"/>
    <mergeCell ref="T61:V61"/>
    <mergeCell ref="O98:P98"/>
    <mergeCell ref="Q98:S98"/>
    <mergeCell ref="T98:V98"/>
    <mergeCell ref="W98:X98"/>
    <mergeCell ref="Y98:Z98"/>
    <mergeCell ref="AJ98:AK98"/>
    <mergeCell ref="AF98:AG98"/>
    <mergeCell ref="AD98:AE98"/>
    <mergeCell ref="AN3:AV6"/>
    <mergeCell ref="AN8:AV10"/>
    <mergeCell ref="AN12:AV19"/>
    <mergeCell ref="P42:P44"/>
    <mergeCell ref="Q42:Q44"/>
    <mergeCell ref="R42:R44"/>
    <mergeCell ref="S42:S44"/>
    <mergeCell ref="T42:T44"/>
    <mergeCell ref="U42:U44"/>
    <mergeCell ref="V42:V44"/>
    <mergeCell ref="W42:W44"/>
    <mergeCell ref="O4:Y4"/>
    <mergeCell ref="AJ4:AK4"/>
    <mergeCell ref="P36:Y37"/>
    <mergeCell ref="P39:Y40"/>
    <mergeCell ref="AN21:AV24"/>
    <mergeCell ref="O101:P101"/>
    <mergeCell ref="Q101:S101"/>
    <mergeCell ref="T101:V101"/>
    <mergeCell ref="W101:X101"/>
    <mergeCell ref="Y101:Z101"/>
    <mergeCell ref="AJ101:AK101"/>
    <mergeCell ref="AF101:AG101"/>
    <mergeCell ref="AD101:AE101"/>
    <mergeCell ref="O100:P100"/>
    <mergeCell ref="Q100:S100"/>
    <mergeCell ref="T100:V100"/>
    <mergeCell ref="W100:X100"/>
    <mergeCell ref="Y100:Z100"/>
    <mergeCell ref="AJ100:AK100"/>
    <mergeCell ref="AF100:AG100"/>
    <mergeCell ref="AD100:AE100"/>
    <mergeCell ref="O99:P99"/>
    <mergeCell ref="Q99:S99"/>
    <mergeCell ref="T99:V99"/>
    <mergeCell ref="W99:X99"/>
    <mergeCell ref="Y99:Z99"/>
    <mergeCell ref="AJ99:AK99"/>
    <mergeCell ref="AR103:AS104"/>
    <mergeCell ref="AF64:AG64"/>
    <mergeCell ref="AF79:AG79"/>
    <mergeCell ref="AD65:AE65"/>
    <mergeCell ref="AF80:AG80"/>
    <mergeCell ref="AD64:AE64"/>
    <mergeCell ref="O79:P79"/>
    <mergeCell ref="Q76:S76"/>
    <mergeCell ref="Q77:S77"/>
    <mergeCell ref="Q78:S78"/>
    <mergeCell ref="Q79:S79"/>
    <mergeCell ref="W77:X77"/>
    <mergeCell ref="W78:X78"/>
    <mergeCell ref="W79:X79"/>
    <mergeCell ref="T76:V76"/>
    <mergeCell ref="T77:V77"/>
    <mergeCell ref="T78:V78"/>
    <mergeCell ref="T79:V79"/>
    <mergeCell ref="AD79:AE79"/>
    <mergeCell ref="AF62:AG62"/>
    <mergeCell ref="AD62:AE62"/>
    <mergeCell ref="AU103:AU104"/>
    <mergeCell ref="AD82:AE82"/>
    <mergeCell ref="AD83:AE83"/>
    <mergeCell ref="AD84:AE84"/>
    <mergeCell ref="AT103:AT104"/>
    <mergeCell ref="AV103:AV104"/>
    <mergeCell ref="AD96:AE96"/>
    <mergeCell ref="AD97:AE97"/>
    <mergeCell ref="AF96:AG96"/>
    <mergeCell ref="AF97:AG97"/>
    <mergeCell ref="AJ96:AK96"/>
    <mergeCell ref="AJ97:AK97"/>
    <mergeCell ref="AF83:AG83"/>
    <mergeCell ref="AF82:AG82"/>
    <mergeCell ref="AF99:AG99"/>
    <mergeCell ref="AD99:AE99"/>
    <mergeCell ref="AP96:AV97"/>
    <mergeCell ref="AP98:AV99"/>
    <mergeCell ref="AH84:AI84"/>
    <mergeCell ref="AJ84:AK84"/>
    <mergeCell ref="AL93:AM95"/>
    <mergeCell ref="T91:Z92"/>
    <mergeCell ref="O64:P64"/>
    <mergeCell ref="O65:P65"/>
    <mergeCell ref="W64:X64"/>
    <mergeCell ref="W65:X65"/>
    <mergeCell ref="O73:P75"/>
    <mergeCell ref="Q73:S75"/>
    <mergeCell ref="T73:V75"/>
    <mergeCell ref="W73:X75"/>
    <mergeCell ref="T65:V65"/>
    <mergeCell ref="Q64:S64"/>
    <mergeCell ref="Q65:S65"/>
    <mergeCell ref="T71:AA72"/>
    <mergeCell ref="Y65:Z65"/>
    <mergeCell ref="Y73:Z75"/>
    <mergeCell ref="AA73:AA75"/>
    <mergeCell ref="AC73:AC75"/>
    <mergeCell ref="AD73:AE75"/>
    <mergeCell ref="W76:X76"/>
    <mergeCell ref="AD80:AE80"/>
    <mergeCell ref="AF73:AG75"/>
    <mergeCell ref="AF76:AG76"/>
    <mergeCell ref="AF78:AG78"/>
    <mergeCell ref="G52:H54"/>
    <mergeCell ref="AF81:AG81"/>
    <mergeCell ref="AF77:AG77"/>
    <mergeCell ref="Y79:Z79"/>
    <mergeCell ref="Y78:Z78"/>
    <mergeCell ref="Y77:Z77"/>
    <mergeCell ref="Y76:Z76"/>
    <mergeCell ref="AD81:AE81"/>
    <mergeCell ref="Y81:Z81"/>
    <mergeCell ref="Q63:S63"/>
    <mergeCell ref="O63:P63"/>
    <mergeCell ref="AD63:AE63"/>
    <mergeCell ref="AF65:AG65"/>
    <mergeCell ref="AF63:AG63"/>
    <mergeCell ref="AD76:AE76"/>
    <mergeCell ref="AD77:AE77"/>
    <mergeCell ref="AD78:AE78"/>
    <mergeCell ref="C52:F55"/>
    <mergeCell ref="C70:L75"/>
    <mergeCell ref="AF84:AG84"/>
    <mergeCell ref="AF93:AG95"/>
    <mergeCell ref="AD93:AE95"/>
    <mergeCell ref="AC93:AC95"/>
    <mergeCell ref="AB93:AB95"/>
    <mergeCell ref="AA93:AA95"/>
    <mergeCell ref="Y93:Z95"/>
    <mergeCell ref="W93:X95"/>
    <mergeCell ref="T93:V95"/>
    <mergeCell ref="Q93:S95"/>
    <mergeCell ref="O93:P95"/>
    <mergeCell ref="AD57:AE57"/>
    <mergeCell ref="AD58:AE58"/>
    <mergeCell ref="AD59:AE59"/>
    <mergeCell ref="AD60:AE60"/>
    <mergeCell ref="AD61:AE61"/>
    <mergeCell ref="O76:P76"/>
    <mergeCell ref="O77:P77"/>
    <mergeCell ref="O78:P78"/>
    <mergeCell ref="W63:X63"/>
    <mergeCell ref="T63:V63"/>
    <mergeCell ref="AB73:AB75"/>
    <mergeCell ref="O96:P96"/>
    <mergeCell ref="O97:P97"/>
    <mergeCell ref="Q96:S96"/>
    <mergeCell ref="Q97:S97"/>
    <mergeCell ref="T96:V96"/>
    <mergeCell ref="W96:X96"/>
    <mergeCell ref="W97:X97"/>
    <mergeCell ref="T97:V97"/>
    <mergeCell ref="Y96:Z96"/>
    <mergeCell ref="Y97:Z97"/>
    <mergeCell ref="AL99:AM99"/>
    <mergeCell ref="AL100:AM100"/>
    <mergeCell ref="AL101:AM101"/>
    <mergeCell ref="AN93:AO95"/>
    <mergeCell ref="AN96:AO96"/>
    <mergeCell ref="AN97:AO97"/>
    <mergeCell ref="AN98:AO98"/>
    <mergeCell ref="AN99:AO99"/>
    <mergeCell ref="AN100:AO100"/>
    <mergeCell ref="AN101:AO101"/>
    <mergeCell ref="AL96:AM96"/>
    <mergeCell ref="AL97:AM97"/>
    <mergeCell ref="AL98:AM98"/>
    <mergeCell ref="AH93:AI93"/>
    <mergeCell ref="AH94:AI94"/>
    <mergeCell ref="AH54:AI56"/>
    <mergeCell ref="AH57:AI57"/>
    <mergeCell ref="AH58:AI58"/>
    <mergeCell ref="AH59:AI59"/>
    <mergeCell ref="AH60:AI60"/>
    <mergeCell ref="AH61:AI61"/>
    <mergeCell ref="AH62:AI62"/>
    <mergeCell ref="AH73:AI75"/>
    <mergeCell ref="AH76:AI76"/>
    <mergeCell ref="AH77:AI77"/>
    <mergeCell ref="AH78:AI78"/>
    <mergeCell ref="AH79:AI79"/>
    <mergeCell ref="AH80:AI80"/>
    <mergeCell ref="AH81:AI81"/>
    <mergeCell ref="AH82:AI82"/>
    <mergeCell ref="AH83:AI83"/>
    <mergeCell ref="AJ93:AK95"/>
    <mergeCell ref="AJ65:AK65"/>
    <mergeCell ref="AJ54:AK56"/>
    <mergeCell ref="AJ57:AK57"/>
    <mergeCell ref="AJ58:AK58"/>
    <mergeCell ref="AJ59:AK59"/>
    <mergeCell ref="AJ60:AK60"/>
    <mergeCell ref="AJ61:AK61"/>
    <mergeCell ref="AJ62:AK62"/>
    <mergeCell ref="AJ63:AK63"/>
    <mergeCell ref="AJ64:AK64"/>
    <mergeCell ref="AJ73:AK75"/>
    <mergeCell ref="AJ76:AK76"/>
    <mergeCell ref="AJ77:AK77"/>
    <mergeCell ref="AJ78:AK78"/>
    <mergeCell ref="AJ79:AK79"/>
    <mergeCell ref="AJ80:AK80"/>
    <mergeCell ref="AJ81:AK81"/>
    <mergeCell ref="AJ82:AK82"/>
    <mergeCell ref="AJ83:AK83"/>
    <mergeCell ref="AN65:AV67"/>
    <mergeCell ref="AN69:AV75"/>
    <mergeCell ref="AN31:AV34"/>
    <mergeCell ref="AN36:AV37"/>
    <mergeCell ref="AN39:AV41"/>
    <mergeCell ref="AN43:AV50"/>
    <mergeCell ref="AN52:AV57"/>
    <mergeCell ref="AH63:AI63"/>
    <mergeCell ref="AH64:AI64"/>
    <mergeCell ref="AH65:AI65"/>
  </mergeCells>
  <dataValidations xWindow="283" yWindow="336" count="18">
    <dataValidation type="list" allowBlank="1" showInputMessage="1" showErrorMessage="1" sqref="B33:B36" xr:uid="{00000000-0002-0000-0000-000000000000}">
      <formula1>IF($B$31="WATER MAIN",WATER_MAIN_SIZES, IF($B$31="GRAVITY SANITARY SEWER MAIN",GRAVITY_SANITARY_SEWER_MAIN_SIZES, IF($B$31="LOW PRESSURE FORCE MAIN",LOW_PRESSURE_FORCE_MAIN_SIZES, IF($B$31="PUMP STATION FORCE MAIN",PUMP_STATION_FORCE_MAIN_SIZES))))</formula1>
    </dataValidation>
    <dataValidation type="list" allowBlank="1" showInputMessage="1" showErrorMessage="1" sqref="E23:E26" xr:uid="{00000000-0002-0000-0000-000001000000}">
      <formula1>IF($B$21="WATER MAIN",WATER_MAIN_MATERIALS, IF($B$21="GRAVITY SANITARY SEWER MAIN",GRAVITY_SANITARY_SEWER_MAIN_MATERIALS, IF($B$21="LOW PRESSURE FORCE MAIN",LOW_PRESSURE_FORCE_MAIN_MATERIALS, IF($B$21="PUMP STATION FORCE MAIN",PUMP_STATION_FM_MAT))))</formula1>
    </dataValidation>
    <dataValidation type="list" allowBlank="1" showInputMessage="1" showErrorMessage="1" sqref="B23:B26" xr:uid="{00000000-0002-0000-0000-000002000000}">
      <formula1>IF($B$21="WATER MAIN",WATER_MAIN_SIZES, IF($B$21="GRAVITY SANITARY SEWER MAIN",GRAVITY_SANITARY_SEWER_MAIN_SIZES, IF($B$21="LOW PRESSURE FORCE MAIN",LOW_PRESSURE_FORCE_MAIN_SIZES, IF($B$21="PUMP STATION FORCE MAIN",PUMP_STATION_FORCE_MAIN_SIZES))))</formula1>
    </dataValidation>
    <dataValidation type="list" allowBlank="1" showInputMessage="1" showErrorMessage="1" sqref="B31 L31" xr:uid="{00000000-0002-0000-0000-000003000000}">
      <formula1>FORCE_MAIN</formula1>
    </dataValidation>
    <dataValidation type="list" allowBlank="1" showInputMessage="1" showErrorMessage="1" sqref="E33:E36" xr:uid="{00000000-0002-0000-0000-000004000000}">
      <formula1>IF($B$31="WATER MAIN",WATER_MAIN_MATERIALS, IF($B$31="GRAVITY SANITARY SEWER MAIN",GRAVITY_SANITARY_SEWER_MAIN_MATERIALS, IF($B$31="LOW PRESSURE FORCE MAIN",LOW_PRESSURE_FORCE_MAIN_MATERIALS, IF($B$31="PUMP STATION FORCE MAIN",PUMP_STATION_FM_MAT))))</formula1>
    </dataValidation>
    <dataValidation type="list" allowBlank="1" showInputMessage="1" showErrorMessage="1" sqref="D48" xr:uid="{00000000-0002-0000-0000-000005000000}">
      <formula1>RESIDENTIAL_METERS</formula1>
    </dataValidation>
    <dataValidation type="list" allowBlank="1" showInputMessage="1" showErrorMessage="1" sqref="K82" xr:uid="{00000000-0002-0000-0000-000006000000}">
      <formula1>PIPE_RESTRAINT_MATERIALS</formula1>
    </dataValidation>
    <dataValidation type="list" allowBlank="1" showInputMessage="1" showErrorMessage="1" sqref="K90" xr:uid="{00000000-0002-0000-0000-000007000000}">
      <formula1>TEST_PRESSURE</formula1>
    </dataValidation>
    <dataValidation type="list" allowBlank="1" showInputMessage="1" showErrorMessage="1" sqref="K86" xr:uid="{00000000-0002-0000-0000-000008000000}">
      <formula1>SAFETY_FACTOR</formula1>
    </dataValidation>
    <dataValidation type="list" allowBlank="1" showInputMessage="1" showErrorMessage="1" sqref="K88" xr:uid="{00000000-0002-0000-0000-000009000000}">
      <formula1>TRENCH_TYPE</formula1>
    </dataValidation>
    <dataValidation type="list" allowBlank="1" showInputMessage="1" showErrorMessage="1" sqref="E84" xr:uid="{00000000-0002-0000-0000-00000A000000}">
      <formula1>SOIL_TYPE</formula1>
    </dataValidation>
    <dataValidation type="list" allowBlank="1" showInputMessage="1" showErrorMessage="1" sqref="W76:W85 W66" xr:uid="{00000000-0002-0000-0000-00000B000000}">
      <formula1>AccountTypes</formula1>
    </dataValidation>
    <dataValidation type="list" allowBlank="1" showInputMessage="1" showErrorMessage="1" sqref="I23:I27" xr:uid="{00000000-0002-0000-0000-00000C000000}">
      <formula1>IF($L$21="WATER MAIN",WATER_MAIN_SIZES, IF($L$21="GRAVITY SANITARY SEWER MAIN",GRAVITY_SANITARY_SEWER_MAIN_SIZES, IF($L$21="LOW PRESSURE FORCE MAIN",LOW_PRESSURE_FORCE_MAIN_SIZES, IF($L$21="PUMP STATION FORCE MAIN",PUMP_STATION_FORCE_MAIN_SIZES))))</formula1>
    </dataValidation>
    <dataValidation type="list" allowBlank="1" showInputMessage="1" showErrorMessage="1" sqref="I33:I36" xr:uid="{00000000-0002-0000-0000-00000D000000}">
      <formula1>IF($L$31="WATER MAIN",WATER_MAIN_SIZES, IF($L$31="GRAVITY SANITARY SEWER MAIN",GRAVITY_SANITARY_SEWER_MAIN_SIZES, IF($L$31="LOW PRESSURE FORCE MAIN",LOW_PRESSURE_FORCE_MAIN_SIZES, IF($L$31="PUMP STATION FORCE MAIN",PUMP_STATION_FORCE_MAIN_SIZES))))</formula1>
    </dataValidation>
    <dataValidation type="list" allowBlank="1" showInputMessage="1" showErrorMessage="1" sqref="L23:L27 M46 BK45:BK47" xr:uid="{00000000-0002-0000-0000-00000E000000}">
      <formula1>IF($L$21="WATER MAIN",WATER_MAIN_MATERIALS, IF($L$21="GRAVITY SANITARY SEWER MAIN",GRAVITY_SANITARY_SEWER_MAIN_MATERIALS, IF($L$21="LOW PRESSURE FORCE MAIN",LOW_PRESSURE_FORCE_MAIN_MATERIALS, IF($L$21="PUMP STATION FORCE MAIN",PUMP_STATION_FM_MAT))))</formula1>
    </dataValidation>
    <dataValidation type="list" allowBlank="1" showInputMessage="1" showErrorMessage="1" sqref="L33:L36 M53:M56" xr:uid="{00000000-0002-0000-0000-00000F000000}">
      <formula1>IF($L$31="WATER MAIN",WATER_MAIN_MATERIALS, IF($L$31="GRAVITY SANITARY SEWER MAIN",GRAVITY_SANITARY_SEWER_MAIN_MATERIALS, IF($L$31="LOW PRESSURE FORCE MAIN",LOW_PRESSURE_FORCE_MAIN_MATERIALS, IF($L$31="PUMP STATION FORCE MAIN",PUMP_STATION_FM_MAT))))</formula1>
    </dataValidation>
    <dataValidation type="list" allowBlank="1" showInputMessage="1" showErrorMessage="1" sqref="G83" xr:uid="{00000000-0002-0000-0000-000010000000}">
      <formula1>INDIRECT($E$84)</formula1>
    </dataValidation>
    <dataValidation type="list" allowBlank="1" showInputMessage="1" showErrorMessage="1" sqref="W96:W101" xr:uid="{00000000-0002-0000-0000-000011000000}">
      <formula1>DataCenterAccountTypes</formula1>
    </dataValidation>
  </dataValidations>
  <pageMargins left="0.7" right="0.7" top="0.75" bottom="0.75" header="0.3" footer="0.3"/>
  <pageSetup paperSize="128" scale="1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14</xdr:col>
                    <xdr:colOff>182880</xdr:colOff>
                    <xdr:row>34</xdr:row>
                    <xdr:rowOff>152400</xdr:rowOff>
                  </from>
                  <to>
                    <xdr:col>14</xdr:col>
                    <xdr:colOff>579120</xdr:colOff>
                    <xdr:row>36</xdr:row>
                    <xdr:rowOff>30480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14</xdr:col>
                    <xdr:colOff>182880</xdr:colOff>
                    <xdr:row>37</xdr:row>
                    <xdr:rowOff>152400</xdr:rowOff>
                  </from>
                  <to>
                    <xdr:col>14</xdr:col>
                    <xdr:colOff>579120</xdr:colOff>
                    <xdr:row>39</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283" yWindow="336" count="7">
        <x14:dataValidation type="list" allowBlank="1" showInputMessage="1" showErrorMessage="1" xr:uid="{00000000-0002-0000-0000-000012000000}">
          <x14:formula1>
            <xm:f>'Excel List 1'!$A$61:$A$62</xm:f>
          </x14:formula1>
          <xm:sqref>L17:M17 X10:X11 L68</xm:sqref>
        </x14:dataValidation>
        <x14:dataValidation type="list" allowBlank="1" showInputMessage="1" showErrorMessage="1" xr:uid="{00000000-0002-0000-0000-000014000000}">
          <x14:formula1>
            <xm:f>'Excel List 1'!$A$21:$A$52</xm:f>
          </x14:formula1>
          <xm:sqref>L13:M13</xm:sqref>
        </x14:dataValidation>
        <x14:dataValidation type="list" allowBlank="1" showInputMessage="1" showErrorMessage="1" xr:uid="{00000000-0002-0000-0000-000015000000}">
          <x14:formula1>
            <xm:f>'AWWA Meter Selection'!$C$6:$C$13</xm:f>
          </x14:formula1>
          <xm:sqref>AJ8</xm:sqref>
        </x14:dataValidation>
        <x14:dataValidation type="list" allowBlank="1" showInputMessage="1" showErrorMessage="1" promptTitle="(Select Pessure Zone)" prompt="(Select Pessure Zone)" xr:uid="{00000000-0002-0000-0000-000016000000}">
          <x14:formula1>
            <xm:f>'Excel List 1'!$A$6:$A$17</xm:f>
          </x14:formula1>
          <xm:sqref>L9:M9</xm:sqref>
        </x14:dataValidation>
        <x14:dataValidation type="list" allowBlank="1" showInputMessage="1" showErrorMessage="1" xr:uid="{00000000-0002-0000-0000-000017000000}">
          <x14:formula1>
            <xm:f>'AWWA Meter Selection'!$C$57:$C$58</xm:f>
          </x14:formula1>
          <xm:sqref>AK6</xm:sqref>
        </x14:dataValidation>
        <x14:dataValidation type="list" allowBlank="1" showInputMessage="1" showErrorMessage="1" xr:uid="{57D583B4-72FA-4A6B-A86B-84A605A83C37}">
          <x14:formula1>
            <xm:f>'Meter Schedule List'!$AD$37:$AD$40</xm:f>
          </x14:formula1>
          <xm:sqref>W57:X65</xm:sqref>
        </x14:dataValidation>
        <x14:dataValidation type="list" allowBlank="1" showInputMessage="1" showErrorMessage="1" xr:uid="{00000000-0002-0000-0000-000013000000}">
          <x14:formula1>
            <xm:f>'Excel List 1'!$A$55:$A$58</xm:f>
          </x14:formula1>
          <xm:sqref>L15:M15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102"/>
  <sheetViews>
    <sheetView view="pageBreakPreview" topLeftCell="A30" zoomScale="42" zoomScaleNormal="60" zoomScaleSheetLayoutView="42" workbookViewId="0">
      <selection activeCell="V63" sqref="V63"/>
    </sheetView>
  </sheetViews>
  <sheetFormatPr defaultColWidth="9.109375" defaultRowHeight="15.6" x14ac:dyDescent="0.3"/>
  <cols>
    <col min="1" max="1" width="9.109375" style="70" customWidth="1"/>
    <col min="2" max="10" width="9.109375" style="70"/>
    <col min="11" max="11" width="10.109375" style="70" bestFit="1" customWidth="1"/>
    <col min="12" max="19" width="9.109375" style="70"/>
    <col min="20" max="20" width="9.109375" style="70" customWidth="1"/>
    <col min="21" max="21" width="11.6640625" style="70" customWidth="1"/>
    <col min="22" max="22" width="10.5546875" style="70" customWidth="1"/>
    <col min="23" max="23" width="10.88671875" style="70" customWidth="1"/>
    <col min="24" max="24" width="9.109375" style="70"/>
    <col min="25" max="25" width="10.5546875" style="70" customWidth="1"/>
    <col min="26" max="26" width="13" style="70" customWidth="1"/>
    <col min="27" max="27" width="12.44140625" style="70" customWidth="1"/>
    <col min="28" max="28" width="12.5546875" style="70" customWidth="1"/>
    <col min="29" max="29" width="13.33203125" style="70" customWidth="1"/>
    <col min="30" max="30" width="11.109375" style="70" customWidth="1"/>
    <col min="31" max="31" width="9.109375" style="70"/>
    <col min="32" max="32" width="11.109375" style="70" customWidth="1"/>
    <col min="33" max="34" width="13.44140625" style="70" customWidth="1"/>
    <col min="35" max="35" width="7.5546875" style="70" customWidth="1"/>
    <col min="36" max="36" width="7.33203125" style="70" customWidth="1"/>
    <col min="37" max="37" width="12" style="70" customWidth="1"/>
    <col min="38" max="38" width="11.33203125" style="70" customWidth="1"/>
    <col min="39" max="16384" width="9.109375" style="70"/>
  </cols>
  <sheetData>
    <row r="1" spans="1:44" ht="16.2" thickTop="1" x14ac:dyDescent="0.3">
      <c r="A1" s="333"/>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5"/>
      <c r="AJ1" s="296"/>
      <c r="AK1" s="295"/>
      <c r="AL1" s="293"/>
      <c r="AM1" s="295"/>
      <c r="AN1" s="295"/>
      <c r="AO1" s="295"/>
      <c r="AP1" s="297"/>
      <c r="AQ1" s="297"/>
      <c r="AR1" s="298"/>
    </row>
    <row r="2" spans="1:44" ht="17.25" customHeight="1" x14ac:dyDescent="0.3">
      <c r="A2" s="334"/>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9"/>
      <c r="AJ2" s="108"/>
      <c r="AK2" s="108"/>
      <c r="AL2" s="108"/>
      <c r="AM2" s="108"/>
      <c r="AN2" s="108"/>
      <c r="AO2" s="121"/>
      <c r="AP2" s="121"/>
      <c r="AQ2" s="121"/>
      <c r="AR2" s="300"/>
    </row>
    <row r="3" spans="1:44" ht="31.5" customHeight="1" thickBot="1" x14ac:dyDescent="0.5">
      <c r="A3" s="334"/>
      <c r="B3" s="294"/>
      <c r="C3" s="294"/>
      <c r="D3" s="294"/>
      <c r="E3" s="294"/>
      <c r="F3" s="294"/>
      <c r="G3" s="294"/>
      <c r="H3" s="294"/>
      <c r="I3" s="294"/>
      <c r="J3" s="294"/>
      <c r="K3" s="294"/>
      <c r="L3" s="294"/>
      <c r="M3" s="294"/>
      <c r="N3" s="294"/>
      <c r="O3" s="294"/>
      <c r="P3" s="294"/>
      <c r="Q3" s="294"/>
      <c r="R3" s="294"/>
      <c r="T3" s="294"/>
      <c r="U3" s="294"/>
      <c r="V3" s="553" t="s">
        <v>399</v>
      </c>
      <c r="W3" s="554"/>
      <c r="X3" s="554"/>
      <c r="Y3" s="554"/>
      <c r="Z3" s="554"/>
      <c r="AA3" s="554"/>
      <c r="AB3" s="554"/>
      <c r="AC3" s="554"/>
      <c r="AD3" s="554"/>
      <c r="AE3" s="554"/>
      <c r="AF3" s="554"/>
      <c r="AG3" s="554"/>
      <c r="AH3" s="554"/>
      <c r="AI3" s="554"/>
      <c r="AJ3" s="554"/>
      <c r="AK3" s="555"/>
      <c r="AL3" s="555"/>
      <c r="AM3" s="555"/>
      <c r="AN3" s="555"/>
      <c r="AO3" s="555"/>
      <c r="AP3" s="556"/>
      <c r="AQ3" s="96"/>
      <c r="AR3" s="182"/>
    </row>
    <row r="4" spans="1:44" ht="15.75" customHeight="1" thickTop="1" x14ac:dyDescent="0.3">
      <c r="A4" s="334"/>
      <c r="B4" s="294"/>
      <c r="C4" s="294"/>
      <c r="D4" s="294"/>
      <c r="E4" s="294"/>
      <c r="F4" s="294"/>
      <c r="G4" s="294"/>
      <c r="H4" s="294"/>
      <c r="I4" s="294"/>
      <c r="J4" s="294"/>
      <c r="K4" s="294"/>
      <c r="L4" s="294"/>
      <c r="M4" s="294"/>
      <c r="N4" s="294"/>
      <c r="O4" s="294"/>
      <c r="P4" s="294"/>
      <c r="Q4" s="294"/>
      <c r="R4" s="294"/>
      <c r="S4" s="294"/>
      <c r="T4" s="294"/>
      <c r="U4" s="294"/>
      <c r="V4" s="327" t="s">
        <v>377</v>
      </c>
      <c r="W4" s="308"/>
      <c r="X4" s="308"/>
      <c r="Y4" s="308"/>
      <c r="Z4" s="308"/>
      <c r="AA4" s="308"/>
      <c r="AB4" s="308"/>
      <c r="AC4" s="308"/>
      <c r="AD4" s="308"/>
      <c r="AE4" s="309"/>
      <c r="AF4" s="309"/>
      <c r="AG4" s="309"/>
      <c r="AH4" s="309"/>
      <c r="AI4" s="309"/>
      <c r="AJ4" s="309"/>
      <c r="AK4" s="305"/>
      <c r="AL4" s="372"/>
      <c r="AM4" s="331"/>
      <c r="AN4" s="316" t="s">
        <v>378</v>
      </c>
      <c r="AO4" s="317"/>
      <c r="AP4" s="318"/>
      <c r="AQ4" s="96"/>
      <c r="AR4" s="182"/>
    </row>
    <row r="5" spans="1:44" ht="78" x14ac:dyDescent="0.3">
      <c r="A5" s="334"/>
      <c r="B5" s="294"/>
      <c r="C5" s="294"/>
      <c r="D5" s="294"/>
      <c r="E5" s="294"/>
      <c r="F5" s="294"/>
      <c r="G5" s="294"/>
      <c r="H5" s="294"/>
      <c r="I5" s="294"/>
      <c r="J5" s="294"/>
      <c r="K5" s="294"/>
      <c r="L5" s="294"/>
      <c r="M5" s="294"/>
      <c r="N5" s="294"/>
      <c r="O5" s="294"/>
      <c r="P5" s="294"/>
      <c r="Q5" s="294"/>
      <c r="R5" s="294"/>
      <c r="S5" s="294"/>
      <c r="T5" s="294"/>
      <c r="U5" s="294"/>
      <c r="V5" s="301" t="s">
        <v>379</v>
      </c>
      <c r="W5" s="301" t="s">
        <v>380</v>
      </c>
      <c r="X5" s="301" t="s">
        <v>381</v>
      </c>
      <c r="Y5" s="301" t="s">
        <v>382</v>
      </c>
      <c r="Z5" s="301" t="s">
        <v>383</v>
      </c>
      <c r="AA5" s="301" t="s">
        <v>384</v>
      </c>
      <c r="AB5" s="301" t="s">
        <v>385</v>
      </c>
      <c r="AC5" s="301" t="s">
        <v>386</v>
      </c>
      <c r="AD5" s="301" t="s">
        <v>387</v>
      </c>
      <c r="AE5" s="328" t="s">
        <v>388</v>
      </c>
      <c r="AF5" s="328" t="s">
        <v>389</v>
      </c>
      <c r="AG5" s="328" t="s">
        <v>390</v>
      </c>
      <c r="AH5" s="328" t="s">
        <v>417</v>
      </c>
      <c r="AI5" s="328" t="s">
        <v>391</v>
      </c>
      <c r="AJ5" s="329" t="s">
        <v>392</v>
      </c>
      <c r="AK5" s="369" t="s">
        <v>393</v>
      </c>
      <c r="AL5" s="373" t="s">
        <v>394</v>
      </c>
      <c r="AM5" s="370" t="s">
        <v>395</v>
      </c>
      <c r="AN5" s="329" t="s">
        <v>396</v>
      </c>
      <c r="AO5" s="330" t="s">
        <v>397</v>
      </c>
      <c r="AP5" s="368" t="s">
        <v>398</v>
      </c>
      <c r="AQ5" s="96"/>
      <c r="AR5" s="182"/>
    </row>
    <row r="6" spans="1:44" x14ac:dyDescent="0.3">
      <c r="A6" s="334"/>
      <c r="B6" s="294"/>
      <c r="C6" s="294"/>
      <c r="D6" s="294"/>
      <c r="E6" s="294"/>
      <c r="F6" s="294"/>
      <c r="G6" s="294"/>
      <c r="H6" s="294"/>
      <c r="I6" s="294"/>
      <c r="J6" s="294"/>
      <c r="K6" s="294"/>
      <c r="L6" s="294"/>
      <c r="M6" s="294"/>
      <c r="N6" s="294"/>
      <c r="O6" s="294"/>
      <c r="P6" s="294"/>
      <c r="Q6" s="294"/>
      <c r="R6" s="294"/>
      <c r="S6" s="294"/>
      <c r="T6" s="294"/>
      <c r="U6" s="294"/>
      <c r="V6" s="303"/>
      <c r="W6" s="303"/>
      <c r="X6" s="303"/>
      <c r="Y6" s="303"/>
      <c r="Z6" s="303"/>
      <c r="AA6" s="303"/>
      <c r="AB6" s="303"/>
      <c r="AC6" s="303"/>
      <c r="AD6" s="303"/>
      <c r="AE6" s="303"/>
      <c r="AF6" s="303"/>
      <c r="AG6" s="303"/>
      <c r="AH6" s="303"/>
      <c r="AI6" s="302"/>
      <c r="AJ6" s="305"/>
      <c r="AK6" s="302"/>
      <c r="AL6" s="320"/>
      <c r="AM6" s="319"/>
      <c r="AN6" s="305"/>
      <c r="AO6" s="314"/>
      <c r="AP6" s="320"/>
      <c r="AQ6" s="96"/>
      <c r="AR6" s="182"/>
    </row>
    <row r="7" spans="1:44" ht="15.75" customHeight="1" x14ac:dyDescent="0.3">
      <c r="A7" s="334"/>
      <c r="B7" s="294"/>
      <c r="C7" s="294"/>
      <c r="D7" s="294"/>
      <c r="E7" s="294"/>
      <c r="F7" s="294"/>
      <c r="G7" s="294"/>
      <c r="H7" s="294"/>
      <c r="I7" s="294"/>
      <c r="J7" s="294"/>
      <c r="K7" s="294"/>
      <c r="L7" s="294"/>
      <c r="M7" s="294"/>
      <c r="N7" s="294"/>
      <c r="O7" s="294"/>
      <c r="P7" s="294"/>
      <c r="Q7" s="294"/>
      <c r="R7" s="294"/>
      <c r="S7" s="294"/>
      <c r="T7" s="294"/>
      <c r="U7" s="294"/>
      <c r="V7" s="303"/>
      <c r="W7" s="303"/>
      <c r="X7" s="303"/>
      <c r="Y7" s="303"/>
      <c r="Z7" s="303"/>
      <c r="AA7" s="303"/>
      <c r="AB7" s="303"/>
      <c r="AC7" s="303"/>
      <c r="AD7" s="303"/>
      <c r="AE7" s="303"/>
      <c r="AF7" s="303"/>
      <c r="AG7" s="303"/>
      <c r="AH7" s="303"/>
      <c r="AI7" s="310"/>
      <c r="AJ7" s="313"/>
      <c r="AK7" s="311"/>
      <c r="AL7" s="374"/>
      <c r="AM7" s="321"/>
      <c r="AN7" s="313"/>
      <c r="AO7" s="315"/>
      <c r="AP7" s="322"/>
      <c r="AQ7" s="96"/>
      <c r="AR7" s="182"/>
    </row>
    <row r="8" spans="1:44" x14ac:dyDescent="0.3">
      <c r="A8" s="334"/>
      <c r="B8" s="294"/>
      <c r="C8" s="294"/>
      <c r="D8" s="294"/>
      <c r="E8" s="294"/>
      <c r="F8" s="294"/>
      <c r="G8" s="294"/>
      <c r="H8" s="294"/>
      <c r="I8" s="294"/>
      <c r="J8" s="294"/>
      <c r="K8" s="294"/>
      <c r="L8" s="294"/>
      <c r="M8" s="294"/>
      <c r="N8" s="294"/>
      <c r="O8" s="294"/>
      <c r="P8" s="294"/>
      <c r="Q8" s="294"/>
      <c r="R8" s="294"/>
      <c r="S8" s="294"/>
      <c r="T8" s="294"/>
      <c r="U8" s="294"/>
      <c r="V8" s="303"/>
      <c r="W8" s="303"/>
      <c r="X8" s="303"/>
      <c r="Y8" s="303"/>
      <c r="Z8" s="303"/>
      <c r="AA8" s="303"/>
      <c r="AB8" s="303"/>
      <c r="AC8" s="303"/>
      <c r="AD8" s="303"/>
      <c r="AE8" s="303"/>
      <c r="AF8" s="303"/>
      <c r="AG8" s="303"/>
      <c r="AH8" s="303"/>
      <c r="AI8" s="302"/>
      <c r="AJ8" s="305"/>
      <c r="AK8" s="302"/>
      <c r="AL8" s="320"/>
      <c r="AM8" s="319"/>
      <c r="AN8" s="305"/>
      <c r="AO8" s="314"/>
      <c r="AP8" s="320"/>
      <c r="AQ8" s="96"/>
      <c r="AR8" s="182"/>
    </row>
    <row r="9" spans="1:44" x14ac:dyDescent="0.3">
      <c r="A9" s="334"/>
      <c r="B9" s="294"/>
      <c r="C9" s="294"/>
      <c r="D9" s="294"/>
      <c r="E9" s="294"/>
      <c r="F9" s="294"/>
      <c r="G9" s="294"/>
      <c r="H9" s="294"/>
      <c r="I9" s="294"/>
      <c r="J9" s="294"/>
      <c r="K9" s="294"/>
      <c r="L9" s="294"/>
      <c r="M9" s="294"/>
      <c r="N9" s="294"/>
      <c r="O9" s="294"/>
      <c r="P9" s="294"/>
      <c r="Q9" s="294"/>
      <c r="R9" s="294"/>
      <c r="S9" s="294"/>
      <c r="T9" s="294"/>
      <c r="U9" s="294"/>
      <c r="V9" s="303"/>
      <c r="W9" s="303"/>
      <c r="X9" s="303"/>
      <c r="Y9" s="303"/>
      <c r="Z9" s="303"/>
      <c r="AA9" s="303"/>
      <c r="AB9" s="303"/>
      <c r="AC9" s="303"/>
      <c r="AD9" s="303"/>
      <c r="AE9" s="303"/>
      <c r="AF9" s="303"/>
      <c r="AG9" s="303"/>
      <c r="AH9" s="303"/>
      <c r="AI9" s="302"/>
      <c r="AJ9" s="305"/>
      <c r="AK9" s="302"/>
      <c r="AL9" s="320"/>
      <c r="AM9" s="319"/>
      <c r="AN9" s="305"/>
      <c r="AO9" s="314"/>
      <c r="AP9" s="320"/>
      <c r="AQ9" s="96"/>
      <c r="AR9" s="182"/>
    </row>
    <row r="10" spans="1:44" x14ac:dyDescent="0.3">
      <c r="A10" s="334"/>
      <c r="B10" s="294"/>
      <c r="C10" s="294"/>
      <c r="D10" s="294"/>
      <c r="E10" s="294"/>
      <c r="F10" s="294"/>
      <c r="G10" s="294"/>
      <c r="H10" s="294"/>
      <c r="I10" s="294"/>
      <c r="J10" s="294"/>
      <c r="K10" s="294"/>
      <c r="L10" s="294"/>
      <c r="M10" s="294"/>
      <c r="N10" s="294"/>
      <c r="O10" s="294"/>
      <c r="P10" s="294"/>
      <c r="Q10" s="294"/>
      <c r="R10" s="294"/>
      <c r="S10" s="294"/>
      <c r="T10" s="294"/>
      <c r="U10" s="294"/>
      <c r="V10" s="303"/>
      <c r="W10" s="303"/>
      <c r="X10" s="303"/>
      <c r="Y10" s="303"/>
      <c r="Z10" s="303"/>
      <c r="AA10" s="303"/>
      <c r="AB10" s="303"/>
      <c r="AC10" s="303"/>
      <c r="AD10" s="303"/>
      <c r="AE10" s="303"/>
      <c r="AF10" s="303"/>
      <c r="AG10" s="303"/>
      <c r="AH10" s="303"/>
      <c r="AI10" s="302"/>
      <c r="AJ10" s="305"/>
      <c r="AK10" s="302"/>
      <c r="AL10" s="320"/>
      <c r="AM10" s="319"/>
      <c r="AN10" s="305"/>
      <c r="AO10" s="314"/>
      <c r="AP10" s="320"/>
      <c r="AQ10" s="96"/>
      <c r="AR10" s="182"/>
    </row>
    <row r="11" spans="1:44" x14ac:dyDescent="0.3">
      <c r="A11" s="334"/>
      <c r="B11" s="294"/>
      <c r="C11" s="294"/>
      <c r="D11" s="294"/>
      <c r="E11" s="294"/>
      <c r="F11" s="294"/>
      <c r="G11" s="294"/>
      <c r="H11" s="294"/>
      <c r="I11" s="294"/>
      <c r="J11" s="294"/>
      <c r="K11" s="294"/>
      <c r="L11" s="294"/>
      <c r="M11" s="294"/>
      <c r="N11" s="294"/>
      <c r="O11" s="294"/>
      <c r="P11" s="294"/>
      <c r="Q11" s="294"/>
      <c r="R11" s="294"/>
      <c r="S11" s="294"/>
      <c r="T11" s="294"/>
      <c r="U11" s="294"/>
      <c r="V11" s="303"/>
      <c r="W11" s="303"/>
      <c r="X11" s="303"/>
      <c r="Y11" s="303"/>
      <c r="Z11" s="303"/>
      <c r="AA11" s="303"/>
      <c r="AB11" s="303"/>
      <c r="AC11" s="303"/>
      <c r="AD11" s="303"/>
      <c r="AE11" s="303"/>
      <c r="AF11" s="303"/>
      <c r="AG11" s="303"/>
      <c r="AH11" s="303"/>
      <c r="AI11" s="302"/>
      <c r="AJ11" s="305"/>
      <c r="AK11" s="302"/>
      <c r="AL11" s="320"/>
      <c r="AM11" s="319"/>
      <c r="AN11" s="305"/>
      <c r="AO11" s="314"/>
      <c r="AP11" s="320"/>
      <c r="AQ11" s="96"/>
      <c r="AR11" s="182"/>
    </row>
    <row r="12" spans="1:44" x14ac:dyDescent="0.3">
      <c r="A12" s="334"/>
      <c r="B12" s="294"/>
      <c r="C12" s="294"/>
      <c r="D12" s="294"/>
      <c r="E12" s="294"/>
      <c r="F12" s="294"/>
      <c r="G12" s="294"/>
      <c r="H12" s="294"/>
      <c r="I12" s="294"/>
      <c r="J12" s="294"/>
      <c r="K12" s="294"/>
      <c r="L12" s="294"/>
      <c r="M12" s="294"/>
      <c r="N12" s="294"/>
      <c r="O12" s="294"/>
      <c r="P12" s="294"/>
      <c r="Q12" s="294"/>
      <c r="R12" s="294"/>
      <c r="S12" s="294"/>
      <c r="T12" s="294"/>
      <c r="U12" s="294"/>
      <c r="V12" s="303"/>
      <c r="W12" s="303"/>
      <c r="X12" s="303"/>
      <c r="Y12" s="303"/>
      <c r="Z12" s="303"/>
      <c r="AA12" s="303"/>
      <c r="AB12" s="303"/>
      <c r="AC12" s="303"/>
      <c r="AD12" s="303"/>
      <c r="AE12" s="303"/>
      <c r="AF12" s="303"/>
      <c r="AG12" s="303"/>
      <c r="AH12" s="303"/>
      <c r="AI12" s="302"/>
      <c r="AJ12" s="305"/>
      <c r="AK12" s="302"/>
      <c r="AL12" s="320"/>
      <c r="AM12" s="319"/>
      <c r="AN12" s="305"/>
      <c r="AO12" s="314"/>
      <c r="AP12" s="320"/>
      <c r="AQ12" s="96"/>
      <c r="AR12" s="182"/>
    </row>
    <row r="13" spans="1:44" x14ac:dyDescent="0.3">
      <c r="A13" s="334"/>
      <c r="B13" s="294"/>
      <c r="C13" s="294"/>
      <c r="D13" s="294"/>
      <c r="E13" s="294"/>
      <c r="F13" s="294"/>
      <c r="G13" s="294"/>
      <c r="H13" s="294"/>
      <c r="I13" s="294"/>
      <c r="J13" s="294"/>
      <c r="K13" s="294"/>
      <c r="L13" s="294"/>
      <c r="M13" s="294"/>
      <c r="N13" s="294"/>
      <c r="O13" s="294"/>
      <c r="P13" s="294"/>
      <c r="Q13" s="294"/>
      <c r="R13" s="294"/>
      <c r="S13" s="294"/>
      <c r="T13" s="294"/>
      <c r="U13" s="294"/>
      <c r="V13" s="303"/>
      <c r="W13" s="303"/>
      <c r="X13" s="303"/>
      <c r="Y13" s="303"/>
      <c r="Z13" s="303"/>
      <c r="AA13" s="303"/>
      <c r="AB13" s="303"/>
      <c r="AC13" s="303"/>
      <c r="AD13" s="303"/>
      <c r="AE13" s="303"/>
      <c r="AF13" s="303"/>
      <c r="AG13" s="303"/>
      <c r="AH13" s="303"/>
      <c r="AI13" s="302"/>
      <c r="AJ13" s="305"/>
      <c r="AK13" s="302"/>
      <c r="AL13" s="320"/>
      <c r="AM13" s="319"/>
      <c r="AN13" s="305"/>
      <c r="AO13" s="314"/>
      <c r="AP13" s="320"/>
      <c r="AQ13" s="96"/>
      <c r="AR13" s="182"/>
    </row>
    <row r="14" spans="1:44" x14ac:dyDescent="0.3">
      <c r="A14" s="334"/>
      <c r="B14" s="294"/>
      <c r="C14" s="294"/>
      <c r="D14" s="294"/>
      <c r="E14" s="294"/>
      <c r="F14" s="294"/>
      <c r="G14" s="294"/>
      <c r="H14" s="294"/>
      <c r="I14" s="294"/>
      <c r="J14" s="294"/>
      <c r="K14" s="294"/>
      <c r="L14" s="294"/>
      <c r="M14" s="294"/>
      <c r="N14" s="294"/>
      <c r="O14" s="294"/>
      <c r="P14" s="294"/>
      <c r="Q14" s="294"/>
      <c r="R14" s="294"/>
      <c r="S14" s="294"/>
      <c r="T14" s="294"/>
      <c r="U14" s="294"/>
      <c r="V14" s="303"/>
      <c r="W14" s="303"/>
      <c r="X14" s="303"/>
      <c r="Y14" s="303"/>
      <c r="Z14" s="303"/>
      <c r="AA14" s="303"/>
      <c r="AB14" s="303"/>
      <c r="AC14" s="303"/>
      <c r="AD14" s="303"/>
      <c r="AE14" s="303"/>
      <c r="AF14" s="303"/>
      <c r="AG14" s="303"/>
      <c r="AH14" s="303"/>
      <c r="AI14" s="302"/>
      <c r="AJ14" s="305"/>
      <c r="AK14" s="302"/>
      <c r="AL14" s="320"/>
      <c r="AM14" s="319"/>
      <c r="AN14" s="305"/>
      <c r="AO14" s="314"/>
      <c r="AP14" s="320"/>
      <c r="AQ14" s="72"/>
      <c r="AR14" s="182"/>
    </row>
    <row r="15" spans="1:44" x14ac:dyDescent="0.3">
      <c r="A15" s="334"/>
      <c r="B15" s="294"/>
      <c r="C15" s="294"/>
      <c r="D15" s="294"/>
      <c r="E15" s="294"/>
      <c r="F15" s="294"/>
      <c r="G15" s="294"/>
      <c r="H15" s="294"/>
      <c r="I15" s="294"/>
      <c r="J15" s="294"/>
      <c r="K15" s="294"/>
      <c r="L15" s="294"/>
      <c r="M15" s="294"/>
      <c r="N15" s="294"/>
      <c r="O15" s="294"/>
      <c r="P15" s="294"/>
      <c r="Q15" s="294"/>
      <c r="R15" s="294"/>
      <c r="S15" s="294"/>
      <c r="T15" s="294"/>
      <c r="U15" s="294"/>
      <c r="V15" s="303"/>
      <c r="W15" s="303"/>
      <c r="X15" s="303"/>
      <c r="Y15" s="303"/>
      <c r="Z15" s="303"/>
      <c r="AA15" s="303"/>
      <c r="AB15" s="303"/>
      <c r="AC15" s="303"/>
      <c r="AD15" s="303"/>
      <c r="AE15" s="303"/>
      <c r="AF15" s="303"/>
      <c r="AG15" s="303"/>
      <c r="AH15" s="303"/>
      <c r="AI15" s="304"/>
      <c r="AJ15" s="313"/>
      <c r="AK15" s="311"/>
      <c r="AL15" s="374"/>
      <c r="AM15" s="321"/>
      <c r="AN15" s="313"/>
      <c r="AO15" s="315"/>
      <c r="AP15" s="322"/>
      <c r="AQ15" s="72"/>
      <c r="AR15" s="182"/>
    </row>
    <row r="16" spans="1:44" x14ac:dyDescent="0.3">
      <c r="A16" s="334"/>
      <c r="B16" s="294"/>
      <c r="C16" s="294"/>
      <c r="D16" s="294"/>
      <c r="E16" s="294"/>
      <c r="F16" s="294"/>
      <c r="G16" s="294"/>
      <c r="H16" s="294"/>
      <c r="I16" s="294"/>
      <c r="J16" s="294"/>
      <c r="K16" s="294"/>
      <c r="L16" s="294"/>
      <c r="M16" s="294"/>
      <c r="N16" s="294"/>
      <c r="O16" s="294"/>
      <c r="P16" s="294"/>
      <c r="Q16" s="294"/>
      <c r="R16" s="294"/>
      <c r="S16" s="294"/>
      <c r="T16" s="294"/>
      <c r="U16" s="294"/>
      <c r="V16" s="303"/>
      <c r="W16" s="303"/>
      <c r="X16" s="303"/>
      <c r="Y16" s="303"/>
      <c r="Z16" s="303"/>
      <c r="AA16" s="303"/>
      <c r="AB16" s="303"/>
      <c r="AC16" s="303"/>
      <c r="AD16" s="303"/>
      <c r="AE16" s="303"/>
      <c r="AF16" s="303"/>
      <c r="AG16" s="303"/>
      <c r="AH16" s="303"/>
      <c r="AI16" s="302"/>
      <c r="AJ16" s="305"/>
      <c r="AK16" s="302"/>
      <c r="AL16" s="320"/>
      <c r="AM16" s="319"/>
      <c r="AN16" s="305"/>
      <c r="AO16" s="314"/>
      <c r="AP16" s="320"/>
      <c r="AR16" s="182"/>
    </row>
    <row r="17" spans="1:58" ht="16.2" thickBot="1" x14ac:dyDescent="0.35">
      <c r="A17" s="334"/>
      <c r="B17" s="294"/>
      <c r="C17" s="294"/>
      <c r="D17" s="294"/>
      <c r="E17" s="294"/>
      <c r="F17" s="294"/>
      <c r="G17" s="294"/>
      <c r="H17" s="294"/>
      <c r="I17" s="294"/>
      <c r="J17" s="294"/>
      <c r="K17" s="294"/>
      <c r="L17" s="294"/>
      <c r="M17" s="294"/>
      <c r="N17" s="294"/>
      <c r="O17" s="294"/>
      <c r="P17" s="294"/>
      <c r="Q17" s="294"/>
      <c r="R17" s="294"/>
      <c r="S17" s="294"/>
      <c r="T17" s="294"/>
      <c r="U17" s="294"/>
      <c r="V17" s="303"/>
      <c r="W17" s="303"/>
      <c r="X17" s="303"/>
      <c r="Y17" s="303"/>
      <c r="Z17" s="303"/>
      <c r="AA17" s="303"/>
      <c r="AB17" s="303"/>
      <c r="AC17" s="303"/>
      <c r="AD17" s="303"/>
      <c r="AE17" s="303"/>
      <c r="AF17" s="303"/>
      <c r="AG17" s="303"/>
      <c r="AH17" s="303"/>
      <c r="AI17" s="302"/>
      <c r="AJ17" s="305"/>
      <c r="AK17" s="302"/>
      <c r="AL17" s="320"/>
      <c r="AM17" s="323"/>
      <c r="AN17" s="324"/>
      <c r="AO17" s="325"/>
      <c r="AP17" s="326"/>
      <c r="AQ17" s="96"/>
      <c r="AR17" s="182"/>
    </row>
    <row r="18" spans="1:58" ht="15.75" customHeight="1" thickTop="1" x14ac:dyDescent="0.3">
      <c r="A18" s="334"/>
      <c r="B18" s="294"/>
      <c r="C18" s="294"/>
      <c r="D18" s="294"/>
      <c r="E18" s="294"/>
      <c r="F18" s="294"/>
      <c r="G18" s="294"/>
      <c r="H18" s="294"/>
      <c r="I18" s="294"/>
      <c r="J18" s="294"/>
      <c r="K18" s="294"/>
      <c r="L18" s="294"/>
      <c r="M18" s="294"/>
      <c r="N18" s="294"/>
      <c r="O18" s="294"/>
      <c r="P18" s="294"/>
      <c r="Q18" s="294"/>
      <c r="R18" s="294"/>
      <c r="S18" s="294"/>
      <c r="T18" s="294"/>
      <c r="U18" s="294"/>
      <c r="V18" s="307" t="s">
        <v>307</v>
      </c>
      <c r="W18" s="548"/>
      <c r="X18" s="548"/>
      <c r="Y18" s="548"/>
      <c r="Z18" s="548"/>
      <c r="AA18" s="548"/>
      <c r="AB18" s="548"/>
      <c r="AC18" s="548"/>
      <c r="AD18" s="548"/>
      <c r="AE18" s="548"/>
      <c r="AF18" s="548"/>
      <c r="AG18" s="548"/>
      <c r="AH18" s="548"/>
      <c r="AI18" s="548"/>
      <c r="AJ18" s="548"/>
      <c r="AK18" s="549"/>
      <c r="AL18" s="549"/>
      <c r="AM18" s="549"/>
      <c r="AN18" s="549"/>
      <c r="AO18" s="549"/>
      <c r="AP18" s="550"/>
      <c r="AQ18" s="72"/>
      <c r="AR18" s="182"/>
    </row>
    <row r="19" spans="1:58" ht="18" customHeight="1" x14ac:dyDescent="0.3">
      <c r="A19" s="334"/>
      <c r="B19" s="294"/>
      <c r="C19" s="294"/>
      <c r="D19" s="294"/>
      <c r="E19" s="294"/>
      <c r="F19" s="294"/>
      <c r="G19" s="294"/>
      <c r="H19" s="294"/>
      <c r="I19" s="294"/>
      <c r="J19" s="294"/>
      <c r="K19" s="294"/>
      <c r="L19" s="294"/>
      <c r="M19" s="294"/>
      <c r="N19" s="294"/>
      <c r="O19" s="294"/>
      <c r="P19" s="294"/>
      <c r="Q19" s="294"/>
      <c r="R19" s="294"/>
      <c r="S19" s="294"/>
      <c r="T19" s="294"/>
      <c r="U19" s="294"/>
      <c r="V19" s="312"/>
      <c r="W19" s="551"/>
      <c r="X19" s="551"/>
      <c r="Y19" s="551"/>
      <c r="Z19" s="551"/>
      <c r="AA19" s="551"/>
      <c r="AB19" s="551"/>
      <c r="AC19" s="551"/>
      <c r="AD19" s="551"/>
      <c r="AE19" s="551"/>
      <c r="AF19" s="551"/>
      <c r="AG19" s="551"/>
      <c r="AH19" s="551"/>
      <c r="AI19" s="551"/>
      <c r="AJ19" s="551"/>
      <c r="AK19" s="551"/>
      <c r="AL19" s="551"/>
      <c r="AM19" s="551"/>
      <c r="AN19" s="551"/>
      <c r="AO19" s="551"/>
      <c r="AP19" s="552"/>
      <c r="AQ19" s="96"/>
      <c r="AR19" s="182"/>
      <c r="BF19" s="241"/>
    </row>
    <row r="20" spans="1:58" x14ac:dyDescent="0.3">
      <c r="A20" s="334"/>
      <c r="B20" s="294"/>
      <c r="C20" s="294"/>
      <c r="D20" s="294"/>
      <c r="E20" s="294"/>
      <c r="F20" s="294"/>
      <c r="G20" s="294"/>
      <c r="H20" s="294"/>
      <c r="I20" s="294"/>
      <c r="J20" s="294"/>
      <c r="K20" s="294"/>
      <c r="L20" s="294"/>
      <c r="M20" s="294"/>
      <c r="N20" s="294"/>
      <c r="O20" s="294"/>
      <c r="P20" s="294"/>
      <c r="Q20" s="294"/>
      <c r="R20" s="294"/>
      <c r="S20" s="294"/>
      <c r="T20" s="294"/>
      <c r="U20" s="294"/>
      <c r="AQ20" s="96"/>
      <c r="AR20" s="182"/>
      <c r="BF20" s="121"/>
    </row>
    <row r="21" spans="1:58" ht="18" customHeight="1" x14ac:dyDescent="0.3">
      <c r="A21" s="334"/>
      <c r="B21" s="294"/>
      <c r="C21" s="294"/>
      <c r="D21" s="294"/>
      <c r="E21" s="294"/>
      <c r="F21" s="294"/>
      <c r="G21" s="294"/>
      <c r="H21" s="294"/>
      <c r="I21" s="294"/>
      <c r="J21" s="294"/>
      <c r="K21" s="294"/>
      <c r="L21" s="294"/>
      <c r="M21" s="294"/>
      <c r="N21" s="294"/>
      <c r="O21" s="294"/>
      <c r="P21" s="294"/>
      <c r="Q21" s="294"/>
      <c r="R21" s="294"/>
      <c r="S21" s="294"/>
      <c r="T21" s="294"/>
      <c r="U21" s="294"/>
      <c r="AQ21" s="96"/>
      <c r="AR21" s="182"/>
      <c r="BF21" s="242"/>
    </row>
    <row r="22" spans="1:58" x14ac:dyDescent="0.3">
      <c r="A22" s="334"/>
      <c r="B22" s="294"/>
      <c r="C22" s="294"/>
      <c r="D22" s="294"/>
      <c r="E22" s="294"/>
      <c r="F22" s="294"/>
      <c r="G22" s="294"/>
      <c r="H22" s="294"/>
      <c r="I22" s="294"/>
      <c r="J22" s="294"/>
      <c r="K22" s="294"/>
      <c r="L22" s="294"/>
      <c r="M22" s="294"/>
      <c r="N22" s="294"/>
      <c r="O22" s="294"/>
      <c r="P22" s="294"/>
      <c r="Q22" s="294"/>
      <c r="R22" s="294"/>
      <c r="S22" s="294"/>
      <c r="T22" s="294"/>
      <c r="U22" s="294"/>
      <c r="AQ22" s="72"/>
      <c r="AR22" s="182"/>
      <c r="BF22" s="242"/>
    </row>
    <row r="23" spans="1:58" ht="15.75" customHeight="1" x14ac:dyDescent="0.3">
      <c r="A23" s="334"/>
      <c r="B23" s="294"/>
      <c r="C23" s="294"/>
      <c r="D23" s="294"/>
      <c r="E23" s="294"/>
      <c r="F23" s="294"/>
      <c r="G23" s="294"/>
      <c r="H23" s="294"/>
      <c r="I23" s="294"/>
      <c r="J23" s="294"/>
      <c r="K23" s="294"/>
      <c r="L23" s="294"/>
      <c r="M23" s="294"/>
      <c r="N23" s="294"/>
      <c r="O23" s="294"/>
      <c r="P23" s="294"/>
      <c r="Q23" s="294"/>
      <c r="R23" s="294"/>
      <c r="S23" s="294"/>
      <c r="T23" s="294"/>
      <c r="U23" s="294"/>
      <c r="AQ23" s="96"/>
      <c r="AR23" s="182"/>
      <c r="BF23" s="242"/>
    </row>
    <row r="24" spans="1:58" x14ac:dyDescent="0.3">
      <c r="A24" s="334"/>
      <c r="B24" s="294"/>
      <c r="C24" s="294"/>
      <c r="D24" s="294"/>
      <c r="E24" s="294"/>
      <c r="F24" s="294"/>
      <c r="G24" s="294"/>
      <c r="H24" s="294"/>
      <c r="I24" s="294"/>
      <c r="J24" s="294"/>
      <c r="K24" s="294"/>
      <c r="L24" s="294"/>
      <c r="M24" s="294"/>
      <c r="N24" s="294"/>
      <c r="O24" s="294"/>
      <c r="P24" s="294"/>
      <c r="Q24" s="294"/>
      <c r="R24" s="294"/>
      <c r="S24" s="294"/>
      <c r="T24" s="294"/>
      <c r="U24" s="294"/>
      <c r="AQ24" s="96"/>
      <c r="AR24" s="182"/>
      <c r="BF24" s="108"/>
    </row>
    <row r="25" spans="1:58" ht="28.2" thickBot="1" x14ac:dyDescent="0.5">
      <c r="A25" s="334"/>
      <c r="B25" s="294"/>
      <c r="C25" s="294"/>
      <c r="D25" s="294"/>
      <c r="E25" s="294"/>
      <c r="F25" s="294"/>
      <c r="G25" s="294"/>
      <c r="H25" s="294"/>
      <c r="I25" s="294"/>
      <c r="J25" s="294"/>
      <c r="K25" s="294"/>
      <c r="L25" s="294"/>
      <c r="M25" s="294"/>
      <c r="N25" s="294"/>
      <c r="O25" s="294"/>
      <c r="P25" s="294"/>
      <c r="Q25" s="294"/>
      <c r="R25" s="294"/>
      <c r="S25" s="294"/>
      <c r="T25" s="294"/>
      <c r="U25" s="294"/>
      <c r="V25" s="553" t="s">
        <v>400</v>
      </c>
      <c r="W25" s="554"/>
      <c r="X25" s="554"/>
      <c r="Y25" s="554"/>
      <c r="Z25" s="554"/>
      <c r="AA25" s="554"/>
      <c r="AB25" s="554"/>
      <c r="AC25" s="554"/>
      <c r="AD25" s="554"/>
      <c r="AE25" s="554"/>
      <c r="AF25" s="554"/>
      <c r="AG25" s="554"/>
      <c r="AH25" s="554"/>
      <c r="AI25" s="554"/>
      <c r="AJ25" s="554"/>
      <c r="AK25" s="555"/>
      <c r="AL25" s="555"/>
      <c r="AM25" s="555"/>
      <c r="AN25" s="555"/>
      <c r="AO25" s="555"/>
      <c r="AP25" s="556"/>
      <c r="AQ25" s="96"/>
      <c r="AR25" s="182"/>
      <c r="BF25" s="108"/>
    </row>
    <row r="26" spans="1:58" ht="16.2" thickTop="1" x14ac:dyDescent="0.3">
      <c r="A26" s="334"/>
      <c r="B26" s="294"/>
      <c r="C26" s="294"/>
      <c r="D26" s="294"/>
      <c r="E26" s="294"/>
      <c r="F26" s="294"/>
      <c r="G26" s="294"/>
      <c r="H26" s="294"/>
      <c r="I26" s="294"/>
      <c r="J26" s="294"/>
      <c r="K26" s="294"/>
      <c r="L26" s="294"/>
      <c r="M26" s="294"/>
      <c r="N26" s="294"/>
      <c r="O26" s="294"/>
      <c r="P26" s="294"/>
      <c r="Q26" s="294"/>
      <c r="R26" s="294"/>
      <c r="S26" s="294"/>
      <c r="T26" s="294"/>
      <c r="U26" s="294"/>
      <c r="V26" s="312" t="s">
        <v>379</v>
      </c>
      <c r="W26" s="308"/>
      <c r="X26" s="308" t="s">
        <v>380</v>
      </c>
      <c r="Y26" s="308"/>
      <c r="Z26" s="308" t="s">
        <v>401</v>
      </c>
      <c r="AA26" s="308"/>
      <c r="AB26" s="308"/>
      <c r="AC26" s="308"/>
      <c r="AD26" s="308"/>
      <c r="AE26" s="309"/>
      <c r="AF26" s="309"/>
      <c r="AG26" s="309"/>
      <c r="AH26" s="309"/>
      <c r="AI26" s="309"/>
      <c r="AJ26" s="309"/>
      <c r="AK26" s="306"/>
      <c r="AL26" s="306"/>
      <c r="AM26" s="331"/>
      <c r="AN26" s="316" t="s">
        <v>378</v>
      </c>
      <c r="AO26" s="317"/>
      <c r="AP26" s="318"/>
      <c r="AQ26" s="96"/>
      <c r="AR26" s="182"/>
      <c r="BF26" s="108"/>
    </row>
    <row r="27" spans="1:58" ht="63.75" customHeight="1" x14ac:dyDescent="0.3">
      <c r="A27" s="334"/>
      <c r="B27" s="294"/>
      <c r="C27" s="294"/>
      <c r="D27" s="294"/>
      <c r="E27" s="294"/>
      <c r="F27" s="294"/>
      <c r="G27" s="294"/>
      <c r="H27" s="294"/>
      <c r="I27" s="294"/>
      <c r="J27" s="294"/>
      <c r="K27" s="294"/>
      <c r="L27" s="294"/>
      <c r="M27" s="294"/>
      <c r="N27" s="294"/>
      <c r="O27" s="294"/>
      <c r="P27" s="294"/>
      <c r="Q27" s="294"/>
      <c r="R27" s="294"/>
      <c r="S27" s="294"/>
      <c r="T27" s="294"/>
      <c r="U27" s="294"/>
      <c r="V27" s="301" t="s">
        <v>402</v>
      </c>
      <c r="W27" s="301" t="s">
        <v>403</v>
      </c>
      <c r="X27" s="301" t="s">
        <v>404</v>
      </c>
      <c r="Y27" s="301" t="s">
        <v>405</v>
      </c>
      <c r="Z27" s="301" t="s">
        <v>406</v>
      </c>
      <c r="AA27" s="301" t="s">
        <v>407</v>
      </c>
      <c r="AB27" s="301" t="s">
        <v>408</v>
      </c>
      <c r="AC27" s="301" t="s">
        <v>409</v>
      </c>
      <c r="AD27" s="565" t="s">
        <v>410</v>
      </c>
      <c r="AE27" s="565"/>
      <c r="AF27" s="566" t="s">
        <v>411</v>
      </c>
      <c r="AG27" s="566"/>
      <c r="AH27" s="566" t="s">
        <v>412</v>
      </c>
      <c r="AI27" s="566"/>
      <c r="AJ27" s="566" t="s">
        <v>413</v>
      </c>
      <c r="AK27" s="566"/>
      <c r="AL27" s="329" t="s">
        <v>414</v>
      </c>
      <c r="AM27" s="567" t="s">
        <v>415</v>
      </c>
      <c r="AN27" s="566"/>
      <c r="AO27" s="563" t="s">
        <v>416</v>
      </c>
      <c r="AP27" s="564"/>
      <c r="AQ27" s="72"/>
      <c r="AR27" s="182"/>
      <c r="BF27" s="108"/>
    </row>
    <row r="28" spans="1:58" ht="15.75" customHeight="1" x14ac:dyDescent="0.3">
      <c r="A28" s="334"/>
      <c r="B28" s="294"/>
      <c r="C28" s="294"/>
      <c r="D28" s="294"/>
      <c r="E28" s="294"/>
      <c r="F28" s="294"/>
      <c r="G28" s="294"/>
      <c r="H28" s="294"/>
      <c r="I28" s="294"/>
      <c r="J28" s="294"/>
      <c r="K28" s="294"/>
      <c r="L28" s="294"/>
      <c r="M28" s="294"/>
      <c r="N28" s="294"/>
      <c r="O28" s="294"/>
      <c r="P28" s="294"/>
      <c r="Q28" s="294"/>
      <c r="R28" s="294"/>
      <c r="S28" s="294"/>
      <c r="T28" s="294"/>
      <c r="U28" s="294"/>
      <c r="V28" s="332"/>
      <c r="W28" s="303"/>
      <c r="X28" s="303"/>
      <c r="Y28" s="303"/>
      <c r="Z28" s="303"/>
      <c r="AA28" s="303"/>
      <c r="AB28" s="303"/>
      <c r="AC28" s="303"/>
      <c r="AD28" s="539"/>
      <c r="AE28" s="540"/>
      <c r="AF28" s="541"/>
      <c r="AG28" s="541"/>
      <c r="AH28" s="541"/>
      <c r="AI28" s="541"/>
      <c r="AJ28" s="542"/>
      <c r="AK28" s="542"/>
      <c r="AL28" s="305"/>
      <c r="AM28" s="546"/>
      <c r="AN28" s="542"/>
      <c r="AO28" s="542"/>
      <c r="AP28" s="543"/>
      <c r="AQ28" s="96"/>
      <c r="AR28" s="182"/>
      <c r="BF28" s="108"/>
    </row>
    <row r="29" spans="1:58" x14ac:dyDescent="0.3">
      <c r="A29" s="334"/>
      <c r="B29" s="294"/>
      <c r="C29" s="294"/>
      <c r="D29" s="294"/>
      <c r="E29" s="294"/>
      <c r="F29" s="294"/>
      <c r="G29" s="294"/>
      <c r="H29" s="294"/>
      <c r="I29" s="294"/>
      <c r="J29" s="294"/>
      <c r="K29" s="294"/>
      <c r="L29" s="294"/>
      <c r="M29" s="294"/>
      <c r="N29" s="294"/>
      <c r="O29" s="294"/>
      <c r="P29" s="294"/>
      <c r="Q29" s="294"/>
      <c r="R29" s="294"/>
      <c r="S29" s="294"/>
      <c r="T29" s="294"/>
      <c r="U29" s="294"/>
      <c r="V29" s="332"/>
      <c r="W29" s="303"/>
      <c r="X29" s="303"/>
      <c r="Y29" s="303"/>
      <c r="Z29" s="303"/>
      <c r="AA29" s="303"/>
      <c r="AB29" s="303"/>
      <c r="AC29" s="303"/>
      <c r="AD29" s="539"/>
      <c r="AE29" s="540"/>
      <c r="AF29" s="541"/>
      <c r="AG29" s="541"/>
      <c r="AH29" s="541"/>
      <c r="AI29" s="541"/>
      <c r="AJ29" s="542"/>
      <c r="AK29" s="542"/>
      <c r="AL29" s="313"/>
      <c r="AM29" s="546"/>
      <c r="AN29" s="542"/>
      <c r="AO29" s="542"/>
      <c r="AP29" s="543"/>
      <c r="AQ29" s="96"/>
      <c r="AR29" s="182"/>
      <c r="BF29" s="108"/>
    </row>
    <row r="30" spans="1:58" ht="15.75" customHeight="1" x14ac:dyDescent="0.3">
      <c r="A30" s="334"/>
      <c r="B30" s="294"/>
      <c r="C30" s="294"/>
      <c r="D30" s="294"/>
      <c r="E30" s="294"/>
      <c r="F30" s="294"/>
      <c r="G30" s="294"/>
      <c r="H30" s="294"/>
      <c r="I30" s="294"/>
      <c r="J30" s="294"/>
      <c r="K30" s="294"/>
      <c r="L30" s="294"/>
      <c r="M30" s="294"/>
      <c r="N30" s="294"/>
      <c r="O30" s="294"/>
      <c r="P30" s="294"/>
      <c r="Q30" s="294"/>
      <c r="R30" s="294"/>
      <c r="S30" s="294"/>
      <c r="T30" s="294"/>
      <c r="U30" s="294"/>
      <c r="V30" s="332"/>
      <c r="W30" s="303"/>
      <c r="X30" s="303"/>
      <c r="Y30" s="303"/>
      <c r="Z30" s="303"/>
      <c r="AA30" s="303"/>
      <c r="AB30" s="303"/>
      <c r="AC30" s="303"/>
      <c r="AD30" s="539"/>
      <c r="AE30" s="540"/>
      <c r="AF30" s="541"/>
      <c r="AG30" s="541"/>
      <c r="AH30" s="541"/>
      <c r="AI30" s="541"/>
      <c r="AJ30" s="542"/>
      <c r="AK30" s="542"/>
      <c r="AL30" s="305"/>
      <c r="AM30" s="546"/>
      <c r="AN30" s="542"/>
      <c r="AO30" s="542"/>
      <c r="AP30" s="543"/>
      <c r="AQ30" s="96"/>
      <c r="AR30" s="182"/>
      <c r="BF30" s="108"/>
    </row>
    <row r="31" spans="1:58" x14ac:dyDescent="0.3">
      <c r="A31" s="334"/>
      <c r="B31" s="294"/>
      <c r="C31" s="294"/>
      <c r="D31" s="294"/>
      <c r="E31" s="294"/>
      <c r="F31" s="294"/>
      <c r="G31" s="294"/>
      <c r="H31" s="294"/>
      <c r="I31" s="294"/>
      <c r="J31" s="294"/>
      <c r="K31" s="294"/>
      <c r="L31" s="294"/>
      <c r="M31" s="294"/>
      <c r="N31" s="294"/>
      <c r="O31" s="294"/>
      <c r="P31" s="294"/>
      <c r="Q31" s="294"/>
      <c r="R31" s="294"/>
      <c r="S31" s="294"/>
      <c r="T31" s="294"/>
      <c r="U31" s="294"/>
      <c r="V31" s="332"/>
      <c r="W31" s="303"/>
      <c r="X31" s="303"/>
      <c r="Y31" s="303"/>
      <c r="Z31" s="303"/>
      <c r="AA31" s="303"/>
      <c r="AB31" s="303"/>
      <c r="AC31" s="303"/>
      <c r="AD31" s="539"/>
      <c r="AE31" s="540"/>
      <c r="AF31" s="541"/>
      <c r="AG31" s="541"/>
      <c r="AH31" s="541"/>
      <c r="AI31" s="541"/>
      <c r="AJ31" s="542"/>
      <c r="AK31" s="542"/>
      <c r="AL31" s="305"/>
      <c r="AM31" s="546"/>
      <c r="AN31" s="542"/>
      <c r="AO31" s="542"/>
      <c r="AP31" s="543"/>
      <c r="AQ31" s="96"/>
      <c r="AR31" s="182"/>
      <c r="BF31" s="121"/>
    </row>
    <row r="32" spans="1:58" x14ac:dyDescent="0.3">
      <c r="A32" s="334"/>
      <c r="B32" s="294"/>
      <c r="C32" s="294"/>
      <c r="D32" s="294"/>
      <c r="E32" s="294"/>
      <c r="F32" s="294"/>
      <c r="G32" s="294"/>
      <c r="H32" s="294"/>
      <c r="I32" s="294"/>
      <c r="J32" s="294"/>
      <c r="K32" s="294"/>
      <c r="L32" s="294"/>
      <c r="M32" s="294"/>
      <c r="N32" s="294"/>
      <c r="O32" s="294"/>
      <c r="P32" s="294"/>
      <c r="Q32" s="294"/>
      <c r="R32" s="294"/>
      <c r="S32" s="294"/>
      <c r="T32" s="294"/>
      <c r="U32" s="294"/>
      <c r="V32" s="332"/>
      <c r="W32" s="303"/>
      <c r="X32" s="303"/>
      <c r="Y32" s="303"/>
      <c r="Z32" s="303"/>
      <c r="AA32" s="303"/>
      <c r="AB32" s="303"/>
      <c r="AC32" s="303"/>
      <c r="AD32" s="539"/>
      <c r="AE32" s="540"/>
      <c r="AF32" s="541"/>
      <c r="AG32" s="541"/>
      <c r="AH32" s="541"/>
      <c r="AI32" s="541"/>
      <c r="AJ32" s="542"/>
      <c r="AK32" s="542"/>
      <c r="AL32" s="305"/>
      <c r="AM32" s="546"/>
      <c r="AN32" s="542"/>
      <c r="AO32" s="542"/>
      <c r="AP32" s="543"/>
      <c r="AQ32" s="72"/>
      <c r="AR32" s="182"/>
      <c r="BF32" s="243"/>
    </row>
    <row r="33" spans="1:58" ht="15.75" customHeight="1" x14ac:dyDescent="0.3">
      <c r="A33" s="334"/>
      <c r="B33" s="294"/>
      <c r="C33" s="294"/>
      <c r="D33" s="294"/>
      <c r="E33" s="294"/>
      <c r="F33" s="294"/>
      <c r="G33" s="294"/>
      <c r="H33" s="294"/>
      <c r="I33" s="294"/>
      <c r="J33" s="294"/>
      <c r="K33" s="294"/>
      <c r="L33" s="294"/>
      <c r="M33" s="294"/>
      <c r="N33" s="294"/>
      <c r="O33" s="294"/>
      <c r="P33" s="294"/>
      <c r="Q33" s="294"/>
      <c r="R33" s="294"/>
      <c r="S33" s="294"/>
      <c r="T33" s="294"/>
      <c r="U33" s="294"/>
      <c r="V33" s="332"/>
      <c r="W33" s="303"/>
      <c r="X33" s="303"/>
      <c r="Y33" s="303"/>
      <c r="Z33" s="303"/>
      <c r="AA33" s="303"/>
      <c r="AB33" s="303"/>
      <c r="AC33" s="303"/>
      <c r="AD33" s="539"/>
      <c r="AE33" s="540"/>
      <c r="AF33" s="541"/>
      <c r="AG33" s="541"/>
      <c r="AH33" s="541"/>
      <c r="AI33" s="541"/>
      <c r="AJ33" s="542"/>
      <c r="AK33" s="542"/>
      <c r="AL33" s="313"/>
      <c r="AM33" s="546"/>
      <c r="AN33" s="542"/>
      <c r="AO33" s="542"/>
      <c r="AP33" s="543"/>
      <c r="AQ33" s="96"/>
      <c r="AR33" s="182"/>
      <c r="BF33" s="243"/>
    </row>
    <row r="34" spans="1:58" x14ac:dyDescent="0.3">
      <c r="A34" s="334"/>
      <c r="B34" s="294"/>
      <c r="C34" s="294"/>
      <c r="D34" s="294"/>
      <c r="E34" s="294"/>
      <c r="F34" s="294"/>
      <c r="G34" s="294"/>
      <c r="H34" s="294"/>
      <c r="I34" s="294"/>
      <c r="J34" s="294"/>
      <c r="K34" s="294"/>
      <c r="L34" s="294"/>
      <c r="M34" s="294"/>
      <c r="N34" s="294"/>
      <c r="O34" s="294"/>
      <c r="P34" s="294"/>
      <c r="Q34" s="294"/>
      <c r="R34" s="294"/>
      <c r="S34" s="294"/>
      <c r="T34" s="294"/>
      <c r="U34" s="294"/>
      <c r="V34" s="332"/>
      <c r="W34" s="303"/>
      <c r="X34" s="303"/>
      <c r="Y34" s="303"/>
      <c r="Z34" s="303"/>
      <c r="AA34" s="303"/>
      <c r="AB34" s="303"/>
      <c r="AC34" s="303"/>
      <c r="AD34" s="539"/>
      <c r="AE34" s="540"/>
      <c r="AF34" s="541"/>
      <c r="AG34" s="541"/>
      <c r="AH34" s="541"/>
      <c r="AI34" s="541"/>
      <c r="AJ34" s="542"/>
      <c r="AK34" s="542"/>
      <c r="AL34" s="305"/>
      <c r="AM34" s="546"/>
      <c r="AN34" s="542"/>
      <c r="AO34" s="542"/>
      <c r="AP34" s="543"/>
      <c r="AQ34" s="96"/>
      <c r="AR34" s="182"/>
      <c r="BF34" s="121"/>
    </row>
    <row r="35" spans="1:58" ht="17.25" customHeight="1" x14ac:dyDescent="0.3">
      <c r="A35" s="334"/>
      <c r="B35" s="294"/>
      <c r="C35" s="294"/>
      <c r="D35" s="294"/>
      <c r="E35" s="294"/>
      <c r="F35" s="294"/>
      <c r="G35" s="294"/>
      <c r="H35" s="294"/>
      <c r="I35" s="294"/>
      <c r="J35" s="294"/>
      <c r="K35" s="294"/>
      <c r="L35" s="294"/>
      <c r="M35" s="294"/>
      <c r="N35" s="294"/>
      <c r="O35" s="294"/>
      <c r="P35" s="294"/>
      <c r="Q35" s="294"/>
      <c r="R35" s="294"/>
      <c r="S35" s="294"/>
      <c r="T35" s="294"/>
      <c r="U35" s="294"/>
      <c r="V35" s="332"/>
      <c r="W35" s="303"/>
      <c r="X35" s="303"/>
      <c r="Y35" s="303"/>
      <c r="Z35" s="303"/>
      <c r="AA35" s="303"/>
      <c r="AB35" s="303"/>
      <c r="AC35" s="303"/>
      <c r="AD35" s="539"/>
      <c r="AE35" s="540"/>
      <c r="AF35" s="541"/>
      <c r="AG35" s="541"/>
      <c r="AH35" s="541"/>
      <c r="AI35" s="541"/>
      <c r="AJ35" s="542"/>
      <c r="AK35" s="542"/>
      <c r="AL35" s="305"/>
      <c r="AM35" s="546"/>
      <c r="AN35" s="542"/>
      <c r="AO35" s="542"/>
      <c r="AP35" s="543"/>
      <c r="AQ35" s="96"/>
      <c r="AR35" s="182"/>
      <c r="BF35" s="121"/>
    </row>
    <row r="36" spans="1:58" x14ac:dyDescent="0.3">
      <c r="A36" s="334"/>
      <c r="B36" s="294"/>
      <c r="C36" s="294"/>
      <c r="D36" s="294"/>
      <c r="E36" s="294"/>
      <c r="F36" s="294"/>
      <c r="G36" s="294"/>
      <c r="H36" s="294"/>
      <c r="I36" s="294"/>
      <c r="J36" s="294"/>
      <c r="K36" s="294"/>
      <c r="L36" s="294"/>
      <c r="M36" s="294"/>
      <c r="N36" s="294"/>
      <c r="O36" s="294"/>
      <c r="P36" s="294"/>
      <c r="Q36" s="294"/>
      <c r="R36" s="294"/>
      <c r="S36" s="294"/>
      <c r="T36" s="294"/>
      <c r="U36" s="294"/>
      <c r="V36" s="332"/>
      <c r="W36" s="303"/>
      <c r="X36" s="303"/>
      <c r="Y36" s="303"/>
      <c r="Z36" s="303"/>
      <c r="AA36" s="303"/>
      <c r="AB36" s="303"/>
      <c r="AC36" s="303"/>
      <c r="AD36" s="539"/>
      <c r="AE36" s="540"/>
      <c r="AF36" s="541"/>
      <c r="AG36" s="541"/>
      <c r="AH36" s="541"/>
      <c r="AI36" s="541"/>
      <c r="AJ36" s="542"/>
      <c r="AK36" s="542"/>
      <c r="AL36" s="305"/>
      <c r="AM36" s="546"/>
      <c r="AN36" s="542"/>
      <c r="AO36" s="542"/>
      <c r="AP36" s="543"/>
      <c r="AQ36" s="96"/>
      <c r="AR36" s="182"/>
      <c r="BF36" s="121"/>
    </row>
    <row r="37" spans="1:58" ht="16.2" thickBot="1" x14ac:dyDescent="0.35">
      <c r="A37" s="334"/>
      <c r="B37" s="294"/>
      <c r="C37" s="294"/>
      <c r="D37" s="294"/>
      <c r="E37" s="294"/>
      <c r="F37" s="294"/>
      <c r="G37" s="294"/>
      <c r="H37" s="294"/>
      <c r="I37" s="294"/>
      <c r="J37" s="294"/>
      <c r="K37" s="294"/>
      <c r="L37" s="294"/>
      <c r="M37" s="294"/>
      <c r="N37" s="294"/>
      <c r="O37" s="294"/>
      <c r="P37" s="294"/>
      <c r="Q37" s="294"/>
      <c r="R37" s="294"/>
      <c r="S37" s="294"/>
      <c r="T37" s="294"/>
      <c r="U37" s="294"/>
      <c r="V37" s="332"/>
      <c r="W37" s="303"/>
      <c r="X37" s="303"/>
      <c r="Y37" s="303"/>
      <c r="Z37" s="303"/>
      <c r="AA37" s="303"/>
      <c r="AB37" s="303"/>
      <c r="AC37" s="303"/>
      <c r="AD37" s="539"/>
      <c r="AE37" s="540"/>
      <c r="AF37" s="541"/>
      <c r="AG37" s="541"/>
      <c r="AH37" s="541"/>
      <c r="AI37" s="541"/>
      <c r="AJ37" s="542"/>
      <c r="AK37" s="542"/>
      <c r="AL37" s="313"/>
      <c r="AM37" s="547"/>
      <c r="AN37" s="544"/>
      <c r="AO37" s="544"/>
      <c r="AP37" s="545"/>
      <c r="AQ37" s="96"/>
      <c r="AR37" s="182"/>
      <c r="BF37" s="121"/>
    </row>
    <row r="38" spans="1:58" ht="16.2" thickTop="1" x14ac:dyDescent="0.3">
      <c r="A38" s="334"/>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96"/>
      <c r="AJ38" s="96"/>
      <c r="AK38" s="96"/>
      <c r="AL38" s="96"/>
      <c r="AM38" s="96"/>
      <c r="AN38" s="96"/>
      <c r="AO38" s="96"/>
      <c r="AP38" s="96"/>
      <c r="AQ38" s="96"/>
      <c r="AR38" s="182"/>
      <c r="BF38" s="108"/>
    </row>
    <row r="39" spans="1:58" x14ac:dyDescent="0.3">
      <c r="A39" s="334"/>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96"/>
      <c r="AJ39" s="96"/>
      <c r="AK39" s="96"/>
      <c r="AL39" s="96"/>
      <c r="AM39" s="96"/>
      <c r="AN39" s="96"/>
      <c r="AO39" s="96"/>
      <c r="AP39" s="96"/>
      <c r="AQ39" s="96"/>
      <c r="AR39" s="182"/>
      <c r="BF39" s="108"/>
    </row>
    <row r="40" spans="1:58" x14ac:dyDescent="0.3">
      <c r="A40" s="334"/>
      <c r="B40" s="294"/>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96"/>
      <c r="AJ40" s="96"/>
      <c r="AK40" s="96"/>
      <c r="AL40" s="96"/>
      <c r="AM40" s="96"/>
      <c r="AN40" s="96"/>
      <c r="AO40" s="96"/>
      <c r="AP40" s="96"/>
      <c r="AQ40" s="96"/>
      <c r="AR40" s="182"/>
      <c r="BF40" s="108"/>
    </row>
    <row r="41" spans="1:58" x14ac:dyDescent="0.3">
      <c r="A41" s="334"/>
      <c r="B41" s="294"/>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96"/>
      <c r="AJ41" s="96"/>
      <c r="AK41" s="96"/>
      <c r="AL41" s="96"/>
      <c r="AM41" s="96"/>
      <c r="AN41" s="96"/>
      <c r="AO41" s="96"/>
      <c r="AP41" s="96"/>
      <c r="AQ41" s="96"/>
      <c r="AR41" s="182"/>
      <c r="BF41" s="72"/>
    </row>
    <row r="42" spans="1:58" ht="15.75" customHeight="1" x14ac:dyDescent="0.3">
      <c r="A42" s="334"/>
      <c r="B42" s="294"/>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96"/>
      <c r="AJ42" s="96"/>
      <c r="AK42" s="96"/>
      <c r="AL42" s="96"/>
      <c r="AM42" s="96"/>
      <c r="AN42" s="96"/>
      <c r="AO42" s="96"/>
      <c r="AP42" s="96"/>
      <c r="AQ42" s="96"/>
      <c r="AR42" s="182"/>
    </row>
    <row r="43" spans="1:58" ht="15.75" customHeight="1" x14ac:dyDescent="0.3">
      <c r="A43" s="334"/>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96"/>
      <c r="AJ43" s="96"/>
      <c r="AK43" s="96"/>
      <c r="AL43" s="96"/>
      <c r="AM43" s="96"/>
      <c r="AN43" s="96"/>
      <c r="AO43" s="96"/>
      <c r="AP43" s="96"/>
      <c r="AQ43" s="96"/>
      <c r="AR43" s="182"/>
    </row>
    <row r="44" spans="1:58" ht="15.75" customHeight="1" x14ac:dyDescent="0.3">
      <c r="A44" s="334"/>
      <c r="B44" s="294"/>
      <c r="C44" s="294"/>
      <c r="D44" s="294"/>
      <c r="E44" s="294"/>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c r="AD44" s="294"/>
      <c r="AE44" s="294"/>
      <c r="AF44" s="294"/>
      <c r="AG44" s="294"/>
      <c r="AH44" s="294"/>
      <c r="AI44" s="96"/>
      <c r="AJ44" s="96"/>
      <c r="AK44" s="96"/>
      <c r="AL44" s="96"/>
      <c r="AM44" s="96"/>
      <c r="AN44" s="96"/>
      <c r="AO44" s="96"/>
      <c r="AP44" s="96"/>
      <c r="AQ44" s="96"/>
      <c r="AR44" s="249"/>
    </row>
    <row r="45" spans="1:58" ht="15.75" customHeight="1" x14ac:dyDescent="0.3">
      <c r="A45" s="334"/>
      <c r="B45" s="294"/>
      <c r="C45" s="294"/>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96"/>
      <c r="AJ45" s="96"/>
      <c r="AK45" s="96"/>
      <c r="AL45" s="96"/>
      <c r="AM45" s="96"/>
      <c r="AN45" s="96"/>
      <c r="AO45" s="96"/>
      <c r="AP45" s="96"/>
      <c r="AQ45" s="96"/>
      <c r="AR45" s="249"/>
    </row>
    <row r="46" spans="1:58" ht="15.75" customHeight="1" x14ac:dyDescent="0.3">
      <c r="A46" s="334"/>
      <c r="B46" s="294"/>
      <c r="C46" s="294"/>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c r="AG46" s="294"/>
      <c r="AH46" s="294"/>
      <c r="AI46" s="96"/>
      <c r="AJ46" s="96"/>
      <c r="AK46" s="96"/>
      <c r="AL46" s="96"/>
      <c r="AM46" s="96"/>
      <c r="AN46" s="96"/>
      <c r="AO46" s="96"/>
      <c r="AP46" s="96"/>
      <c r="AQ46" s="96"/>
      <c r="AR46" s="249"/>
    </row>
    <row r="47" spans="1:58" ht="15.75" customHeight="1" x14ac:dyDescent="0.3">
      <c r="A47" s="334"/>
      <c r="B47" s="294"/>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c r="AH47" s="294"/>
      <c r="AI47" s="96"/>
      <c r="AJ47" s="96"/>
      <c r="AK47" s="96"/>
      <c r="AL47" s="96"/>
      <c r="AM47" s="96"/>
      <c r="AN47" s="96"/>
      <c r="AO47" s="96"/>
      <c r="AP47" s="96"/>
      <c r="AQ47" s="96"/>
      <c r="AR47" s="249"/>
    </row>
    <row r="48" spans="1:58" ht="15.75" customHeight="1" x14ac:dyDescent="0.3">
      <c r="A48" s="334"/>
      <c r="B48" s="294"/>
      <c r="C48" s="294"/>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4"/>
      <c r="AE48" s="294"/>
      <c r="AF48" s="294"/>
      <c r="AG48" s="294"/>
      <c r="AH48" s="294"/>
      <c r="AI48" s="96"/>
      <c r="AJ48" s="96"/>
      <c r="AK48" s="96"/>
      <c r="AL48" s="96"/>
      <c r="AM48" s="96"/>
      <c r="AN48" s="96"/>
      <c r="AO48" s="96"/>
      <c r="AP48" s="96"/>
      <c r="AQ48" s="96"/>
      <c r="AR48" s="249"/>
    </row>
    <row r="49" spans="1:44" ht="15.75" customHeight="1" x14ac:dyDescent="0.3">
      <c r="A49" s="334"/>
      <c r="B49" s="294"/>
      <c r="C49" s="294"/>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96"/>
      <c r="AJ49" s="96"/>
      <c r="AK49" s="96"/>
      <c r="AL49" s="96"/>
      <c r="AM49" s="96"/>
      <c r="AN49" s="96"/>
      <c r="AO49" s="96"/>
      <c r="AP49" s="96"/>
      <c r="AQ49" s="96"/>
      <c r="AR49" s="182"/>
    </row>
    <row r="50" spans="1:44" ht="15.75" customHeight="1" x14ac:dyDescent="0.3">
      <c r="A50" s="334"/>
      <c r="B50" s="294"/>
      <c r="C50" s="294"/>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c r="AI50" s="96"/>
      <c r="AJ50" s="96"/>
      <c r="AK50" s="96"/>
      <c r="AL50" s="96"/>
      <c r="AM50" s="96"/>
      <c r="AN50" s="96"/>
      <c r="AO50" s="96"/>
      <c r="AP50" s="96"/>
      <c r="AQ50" s="96"/>
      <c r="AR50" s="182"/>
    </row>
    <row r="51" spans="1:44" ht="15.75" customHeight="1" x14ac:dyDescent="0.3">
      <c r="A51" s="334"/>
      <c r="B51" s="294"/>
      <c r="C51" s="294"/>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c r="AI51" s="96"/>
      <c r="AJ51" s="96"/>
      <c r="AK51" s="96"/>
      <c r="AL51" s="96"/>
      <c r="AM51" s="96"/>
      <c r="AN51" s="96"/>
      <c r="AO51" s="96"/>
      <c r="AP51" s="96"/>
      <c r="AQ51" s="96"/>
      <c r="AR51" s="182"/>
    </row>
    <row r="52" spans="1:44" ht="15.75" customHeight="1" x14ac:dyDescent="0.3">
      <c r="A52" s="334"/>
      <c r="B52" s="294"/>
      <c r="C52" s="294"/>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47"/>
      <c r="AJ52" s="96"/>
      <c r="AK52" s="96"/>
      <c r="AL52" s="96"/>
      <c r="AM52" s="96"/>
      <c r="AN52" s="96"/>
      <c r="AO52" s="96"/>
      <c r="AP52" s="96"/>
      <c r="AQ52" s="96"/>
      <c r="AR52" s="182"/>
    </row>
    <row r="53" spans="1:44" ht="15.75" customHeight="1" x14ac:dyDescent="0.3">
      <c r="A53" s="334"/>
      <c r="B53" s="294"/>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96"/>
      <c r="AJ53" s="96"/>
      <c r="AK53" s="96"/>
      <c r="AL53" s="96"/>
      <c r="AM53" s="96"/>
      <c r="AN53" s="96"/>
      <c r="AO53" s="96"/>
      <c r="AP53" s="96"/>
      <c r="AQ53" s="72"/>
      <c r="AR53" s="182"/>
    </row>
    <row r="54" spans="1:44" ht="15.75" customHeight="1" x14ac:dyDescent="0.3">
      <c r="A54" s="334"/>
      <c r="B54" s="294"/>
      <c r="C54" s="294"/>
      <c r="D54" s="294"/>
      <c r="E54" s="294"/>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94"/>
      <c r="AE54" s="294"/>
      <c r="AF54" s="294"/>
      <c r="AG54" s="294"/>
      <c r="AH54" s="294"/>
      <c r="AI54" s="96"/>
      <c r="AJ54" s="96"/>
      <c r="AK54" s="96"/>
      <c r="AL54" s="96"/>
      <c r="AM54" s="96"/>
      <c r="AN54" s="96"/>
      <c r="AO54" s="96"/>
      <c r="AP54" s="96"/>
      <c r="AQ54" s="96"/>
      <c r="AR54" s="182"/>
    </row>
    <row r="55" spans="1:44" ht="15.75" customHeight="1" x14ac:dyDescent="0.3">
      <c r="A55" s="334"/>
      <c r="B55" s="294"/>
      <c r="C55" s="294"/>
      <c r="D55" s="294"/>
      <c r="E55" s="294"/>
      <c r="F55" s="294"/>
      <c r="G55" s="294"/>
      <c r="H55" s="294"/>
      <c r="I55" s="294"/>
      <c r="J55" s="294"/>
      <c r="K55" s="294"/>
      <c r="L55" s="294"/>
      <c r="M55" s="294"/>
      <c r="N55" s="294"/>
      <c r="O55" s="294"/>
      <c r="P55" s="294"/>
      <c r="Q55" s="294"/>
      <c r="R55" s="294"/>
      <c r="S55" s="294"/>
      <c r="T55" s="294"/>
      <c r="U55" s="294"/>
      <c r="V55" s="294"/>
      <c r="W55" s="294"/>
      <c r="X55" s="294"/>
      <c r="Y55" s="294"/>
      <c r="Z55" s="294"/>
      <c r="AA55" s="294"/>
      <c r="AB55" s="294"/>
      <c r="AC55" s="294"/>
      <c r="AD55" s="294"/>
      <c r="AE55" s="294"/>
      <c r="AF55" s="294"/>
      <c r="AG55" s="294"/>
      <c r="AH55" s="294"/>
      <c r="AI55" s="96"/>
      <c r="AJ55" s="96"/>
      <c r="AK55" s="96"/>
      <c r="AL55" s="96"/>
      <c r="AM55" s="96"/>
      <c r="AN55" s="96"/>
      <c r="AO55" s="96"/>
      <c r="AP55" s="96"/>
      <c r="AQ55" s="96"/>
      <c r="AR55" s="182"/>
    </row>
    <row r="56" spans="1:44" ht="15.75" customHeight="1" x14ac:dyDescent="0.3">
      <c r="A56" s="334"/>
      <c r="B56" s="294"/>
      <c r="C56" s="294"/>
      <c r="D56" s="294"/>
      <c r="E56" s="294"/>
      <c r="F56" s="294"/>
      <c r="G56" s="294"/>
      <c r="H56" s="294"/>
      <c r="I56" s="294"/>
      <c r="J56" s="294"/>
      <c r="K56" s="294"/>
      <c r="L56" s="294"/>
      <c r="M56" s="294"/>
      <c r="N56" s="294"/>
      <c r="O56" s="294"/>
      <c r="P56" s="294"/>
      <c r="Q56" s="294"/>
      <c r="R56" s="294"/>
      <c r="S56" s="294"/>
      <c r="T56" s="294"/>
      <c r="U56" s="294"/>
      <c r="V56" s="294"/>
      <c r="W56" s="294"/>
      <c r="X56" s="294"/>
      <c r="Y56" s="294"/>
      <c r="Z56" s="294"/>
      <c r="AA56" s="294"/>
      <c r="AB56" s="294"/>
      <c r="AC56" s="294"/>
      <c r="AD56" s="294"/>
      <c r="AE56" s="294"/>
      <c r="AF56" s="294"/>
      <c r="AG56" s="294"/>
      <c r="AH56" s="294"/>
      <c r="AI56" s="114"/>
      <c r="AJ56" s="96"/>
      <c r="AK56" s="96"/>
      <c r="AL56" s="96"/>
      <c r="AM56" s="96"/>
      <c r="AN56" s="96"/>
      <c r="AO56" s="96"/>
      <c r="AP56" s="96"/>
      <c r="AQ56" s="96"/>
      <c r="AR56" s="182"/>
    </row>
    <row r="57" spans="1:44" ht="15.75" customHeight="1" x14ac:dyDescent="0.3">
      <c r="A57" s="334"/>
      <c r="B57" s="294"/>
      <c r="C57" s="294"/>
      <c r="D57" s="294"/>
      <c r="E57" s="294"/>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94"/>
      <c r="AE57" s="294"/>
      <c r="AF57" s="294"/>
      <c r="AG57" s="294"/>
      <c r="AH57" s="294"/>
      <c r="AI57" s="96"/>
      <c r="AJ57" s="96"/>
      <c r="AK57" s="96"/>
      <c r="AL57" s="96"/>
      <c r="AM57" s="96"/>
      <c r="AN57" s="96"/>
      <c r="AO57" s="96"/>
      <c r="AP57" s="96"/>
      <c r="AQ57" s="72"/>
      <c r="AR57" s="182"/>
    </row>
    <row r="58" spans="1:44" ht="15.75" customHeight="1" x14ac:dyDescent="0.3">
      <c r="A58" s="334"/>
      <c r="B58" s="294"/>
      <c r="C58" s="294"/>
      <c r="D58" s="294"/>
      <c r="E58" s="294"/>
      <c r="F58" s="294"/>
      <c r="G58" s="294"/>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96"/>
      <c r="AJ58" s="96"/>
      <c r="AK58" s="96"/>
      <c r="AL58" s="96"/>
      <c r="AM58" s="96"/>
      <c r="AN58" s="96"/>
      <c r="AO58" s="96"/>
      <c r="AP58" s="96"/>
      <c r="AQ58" s="96"/>
      <c r="AR58" s="182"/>
    </row>
    <row r="59" spans="1:44" ht="15.75" customHeight="1" x14ac:dyDescent="0.3">
      <c r="A59" s="334"/>
      <c r="B59" s="294"/>
      <c r="C59" s="294"/>
      <c r="D59" s="294"/>
      <c r="E59" s="294"/>
      <c r="F59" s="294"/>
      <c r="G59" s="294"/>
      <c r="H59" s="294"/>
      <c r="I59" s="294"/>
      <c r="J59" s="294"/>
      <c r="K59" s="294"/>
      <c r="L59" s="294"/>
      <c r="M59" s="294"/>
      <c r="N59" s="294"/>
      <c r="O59" s="294"/>
      <c r="P59" s="294"/>
      <c r="Q59" s="294"/>
      <c r="R59" s="294"/>
      <c r="S59" s="294"/>
      <c r="T59" s="294"/>
      <c r="U59" s="294"/>
      <c r="V59" s="294"/>
      <c r="W59" s="294"/>
      <c r="X59" s="294"/>
      <c r="Y59" s="294"/>
      <c r="Z59" s="294"/>
      <c r="AA59" s="294"/>
      <c r="AB59" s="294"/>
      <c r="AC59" s="294"/>
      <c r="AD59" s="294"/>
      <c r="AE59" s="294"/>
      <c r="AF59" s="294"/>
      <c r="AG59" s="294"/>
      <c r="AH59" s="294"/>
      <c r="AI59" s="96"/>
      <c r="AJ59" s="96"/>
      <c r="AK59" s="96"/>
      <c r="AL59" s="96"/>
      <c r="AM59" s="96"/>
      <c r="AN59" s="96"/>
      <c r="AO59" s="96"/>
      <c r="AP59" s="96"/>
      <c r="AQ59" s="96"/>
      <c r="AR59" s="182"/>
    </row>
    <row r="60" spans="1:44" ht="15.75" customHeight="1" x14ac:dyDescent="0.3">
      <c r="A60" s="334"/>
      <c r="B60" s="294"/>
      <c r="C60" s="294"/>
      <c r="D60" s="294"/>
      <c r="E60" s="294"/>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4"/>
      <c r="AD60" s="294"/>
      <c r="AE60" s="294"/>
      <c r="AF60" s="294"/>
      <c r="AG60" s="294"/>
      <c r="AH60" s="294"/>
      <c r="AI60" s="96"/>
      <c r="AJ60" s="96"/>
      <c r="AK60" s="96"/>
      <c r="AL60" s="96"/>
      <c r="AM60" s="96"/>
      <c r="AN60" s="96"/>
      <c r="AO60" s="96"/>
      <c r="AP60" s="96"/>
      <c r="AQ60" s="96"/>
      <c r="AR60" s="182"/>
    </row>
    <row r="61" spans="1:44" ht="15.75" customHeight="1" x14ac:dyDescent="0.3">
      <c r="A61" s="334"/>
      <c r="B61" s="294"/>
      <c r="C61" s="294"/>
      <c r="D61" s="294"/>
      <c r="E61" s="294"/>
      <c r="F61" s="294"/>
      <c r="G61" s="294"/>
      <c r="H61" s="294"/>
      <c r="I61" s="294"/>
      <c r="J61" s="294"/>
      <c r="K61" s="294"/>
      <c r="L61" s="294"/>
      <c r="M61" s="294"/>
      <c r="N61" s="294"/>
      <c r="O61" s="294"/>
      <c r="P61" s="294"/>
      <c r="Q61" s="294"/>
      <c r="R61" s="294"/>
      <c r="S61" s="294"/>
      <c r="T61" s="294"/>
      <c r="U61" s="294"/>
      <c r="V61" s="294"/>
      <c r="W61" s="294"/>
      <c r="X61" s="294"/>
      <c r="Y61" s="294"/>
      <c r="Z61" s="294"/>
      <c r="AA61" s="294"/>
      <c r="AB61" s="294"/>
      <c r="AC61" s="294"/>
      <c r="AD61" s="294"/>
      <c r="AE61" s="294"/>
      <c r="AF61" s="294"/>
      <c r="AG61" s="294"/>
      <c r="AH61" s="294"/>
      <c r="AI61" s="96"/>
      <c r="AJ61" s="96"/>
      <c r="AK61" s="96"/>
      <c r="AL61" s="96"/>
      <c r="AM61" s="96"/>
      <c r="AN61" s="96"/>
      <c r="AO61" s="96"/>
      <c r="AP61" s="96"/>
      <c r="AQ61" s="96"/>
      <c r="AR61" s="182"/>
    </row>
    <row r="62" spans="1:44" ht="15.75" customHeight="1" x14ac:dyDescent="0.3">
      <c r="A62" s="334"/>
      <c r="B62" s="294"/>
      <c r="C62" s="294"/>
      <c r="D62" s="294"/>
      <c r="E62" s="294"/>
      <c r="F62" s="294"/>
      <c r="G62" s="294"/>
      <c r="H62" s="294"/>
      <c r="I62" s="294"/>
      <c r="J62" s="294"/>
      <c r="K62" s="294"/>
      <c r="L62" s="294"/>
      <c r="M62" s="294"/>
      <c r="N62" s="294"/>
      <c r="O62" s="294"/>
      <c r="P62" s="294"/>
      <c r="Q62" s="294"/>
      <c r="R62" s="294"/>
      <c r="S62" s="294"/>
      <c r="T62" s="294"/>
      <c r="U62" s="294"/>
      <c r="V62" s="294"/>
      <c r="W62" s="294"/>
      <c r="X62" s="294"/>
      <c r="Y62" s="294"/>
      <c r="Z62" s="294"/>
      <c r="AA62" s="294"/>
      <c r="AB62" s="294"/>
      <c r="AC62" s="294"/>
      <c r="AD62" s="294"/>
      <c r="AE62" s="294"/>
      <c r="AF62" s="294"/>
      <c r="AG62" s="294"/>
      <c r="AH62" s="294"/>
      <c r="AI62" s="96"/>
      <c r="AJ62" s="96"/>
      <c r="AK62" s="96"/>
      <c r="AL62" s="96"/>
      <c r="AM62" s="96"/>
      <c r="AN62" s="96"/>
      <c r="AO62" s="96"/>
      <c r="AP62" s="96"/>
      <c r="AQ62" s="96"/>
      <c r="AR62" s="182"/>
    </row>
    <row r="63" spans="1:44" ht="15.75" customHeight="1" x14ac:dyDescent="0.3">
      <c r="A63" s="334"/>
      <c r="B63" s="294"/>
      <c r="C63" s="294"/>
      <c r="D63" s="294"/>
      <c r="E63" s="294"/>
      <c r="F63" s="294"/>
      <c r="G63" s="294"/>
      <c r="H63" s="294"/>
      <c r="I63" s="294"/>
      <c r="J63" s="294"/>
      <c r="K63" s="294"/>
      <c r="L63" s="294"/>
      <c r="M63" s="294"/>
      <c r="N63" s="294"/>
      <c r="O63" s="294"/>
      <c r="P63" s="294"/>
      <c r="Q63" s="294"/>
      <c r="R63" s="294"/>
      <c r="S63" s="294"/>
      <c r="T63" s="294"/>
      <c r="U63" s="294"/>
      <c r="V63" s="294"/>
      <c r="W63" s="294"/>
      <c r="X63" s="294"/>
      <c r="Y63" s="294"/>
      <c r="Z63" s="294"/>
      <c r="AA63" s="294"/>
      <c r="AB63" s="294"/>
      <c r="AC63" s="294"/>
      <c r="AD63" s="294"/>
      <c r="AE63" s="294"/>
      <c r="AF63" s="294"/>
      <c r="AG63" s="294"/>
      <c r="AH63" s="294"/>
      <c r="AI63" s="96"/>
      <c r="AJ63" s="96"/>
      <c r="AK63" s="96"/>
      <c r="AL63" s="96"/>
      <c r="AM63" s="96"/>
      <c r="AN63" s="96"/>
      <c r="AO63" s="96"/>
      <c r="AP63" s="96"/>
      <c r="AQ63" s="96"/>
      <c r="AR63" s="182"/>
    </row>
    <row r="64" spans="1:44" ht="15.75" customHeight="1" x14ac:dyDescent="0.3">
      <c r="A64" s="334"/>
      <c r="B64" s="294"/>
      <c r="C64" s="294"/>
      <c r="D64" s="294"/>
      <c r="E64" s="294"/>
      <c r="F64" s="294"/>
      <c r="G64" s="294"/>
      <c r="H64" s="294"/>
      <c r="I64" s="294"/>
      <c r="J64" s="294"/>
      <c r="K64" s="294"/>
      <c r="L64" s="294"/>
      <c r="M64" s="294"/>
      <c r="N64" s="294"/>
      <c r="O64" s="294"/>
      <c r="P64" s="294"/>
      <c r="Q64" s="294"/>
      <c r="R64" s="294"/>
      <c r="S64" s="294"/>
      <c r="T64" s="294"/>
      <c r="U64" s="294"/>
      <c r="V64" s="294"/>
      <c r="W64" s="294"/>
      <c r="X64" s="294"/>
      <c r="Y64" s="294"/>
      <c r="Z64" s="294"/>
      <c r="AA64" s="294"/>
      <c r="AB64" s="294"/>
      <c r="AC64" s="294"/>
      <c r="AD64" s="294"/>
      <c r="AE64" s="294"/>
      <c r="AF64" s="294"/>
      <c r="AG64" s="294"/>
      <c r="AH64" s="294"/>
      <c r="AI64" s="114"/>
      <c r="AJ64" s="80"/>
      <c r="AK64" s="80"/>
      <c r="AL64" s="80"/>
      <c r="AM64" s="80"/>
      <c r="AN64" s="80"/>
      <c r="AO64" s="72"/>
      <c r="AP64" s="72"/>
      <c r="AQ64" s="72"/>
      <c r="AR64" s="182"/>
    </row>
    <row r="65" spans="1:44" ht="15.75" customHeight="1" x14ac:dyDescent="0.3">
      <c r="A65" s="334"/>
      <c r="B65" s="294"/>
      <c r="C65" s="294"/>
      <c r="D65" s="294"/>
      <c r="E65" s="294"/>
      <c r="F65" s="294"/>
      <c r="G65" s="294"/>
      <c r="H65" s="294"/>
      <c r="I65" s="294"/>
      <c r="J65" s="294"/>
      <c r="K65" s="294"/>
      <c r="L65" s="294"/>
      <c r="M65" s="294"/>
      <c r="N65" s="294"/>
      <c r="O65" s="294"/>
      <c r="P65" s="294"/>
      <c r="Q65" s="294"/>
      <c r="R65" s="294"/>
      <c r="S65" s="294"/>
      <c r="T65" s="294"/>
      <c r="U65" s="294"/>
      <c r="V65" s="294"/>
      <c r="W65" s="294"/>
      <c r="X65" s="294"/>
      <c r="Y65" s="294"/>
      <c r="Z65" s="294"/>
      <c r="AA65" s="294"/>
      <c r="AB65" s="294"/>
      <c r="AC65" s="294"/>
      <c r="AD65" s="294"/>
      <c r="AE65" s="294"/>
      <c r="AF65" s="294"/>
      <c r="AG65" s="294"/>
      <c r="AH65" s="294"/>
      <c r="AI65" s="72"/>
      <c r="AJ65" s="72"/>
      <c r="AK65" s="72"/>
      <c r="AL65" s="72"/>
      <c r="AM65" s="72"/>
      <c r="AN65" s="72"/>
      <c r="AO65" s="72"/>
      <c r="AP65" s="72"/>
      <c r="AQ65" s="72"/>
      <c r="AR65" s="182"/>
    </row>
    <row r="66" spans="1:44" ht="15.75" customHeight="1" x14ac:dyDescent="0.3">
      <c r="A66" s="334"/>
      <c r="B66" s="294"/>
      <c r="C66" s="294"/>
      <c r="D66" s="294"/>
      <c r="E66" s="294"/>
      <c r="F66" s="294"/>
      <c r="G66" s="294"/>
      <c r="H66" s="294"/>
      <c r="I66" s="294"/>
      <c r="J66" s="294"/>
      <c r="K66" s="294"/>
      <c r="L66" s="294"/>
      <c r="M66" s="294"/>
      <c r="N66" s="294"/>
      <c r="O66" s="294"/>
      <c r="P66" s="294"/>
      <c r="Q66" s="294"/>
      <c r="R66" s="294"/>
      <c r="S66" s="294"/>
      <c r="T66" s="294"/>
      <c r="U66" s="294"/>
      <c r="V66" s="294"/>
      <c r="W66" s="294"/>
      <c r="X66" s="294"/>
      <c r="Y66" s="294"/>
      <c r="Z66" s="294"/>
      <c r="AA66" s="294"/>
      <c r="AB66" s="294"/>
      <c r="AC66" s="294"/>
      <c r="AD66" s="294"/>
      <c r="AE66" s="294"/>
      <c r="AF66" s="294"/>
      <c r="AG66" s="294"/>
      <c r="AH66" s="294"/>
      <c r="AI66" s="72"/>
      <c r="AJ66" s="72"/>
      <c r="AK66" s="72"/>
      <c r="AL66" s="72"/>
      <c r="AM66" s="72"/>
      <c r="AN66" s="72"/>
      <c r="AO66" s="72"/>
      <c r="AP66" s="72"/>
      <c r="AQ66" s="72"/>
      <c r="AR66" s="182"/>
    </row>
    <row r="67" spans="1:44" ht="15.75" customHeight="1" x14ac:dyDescent="0.3">
      <c r="A67" s="334"/>
      <c r="B67" s="294"/>
      <c r="C67" s="294"/>
      <c r="D67" s="294"/>
      <c r="E67" s="294"/>
      <c r="F67" s="294"/>
      <c r="G67" s="294"/>
      <c r="H67" s="294"/>
      <c r="I67" s="294"/>
      <c r="J67" s="294"/>
      <c r="K67" s="294"/>
      <c r="L67" s="294"/>
      <c r="M67" s="294"/>
      <c r="N67" s="294"/>
      <c r="O67" s="294"/>
      <c r="P67" s="294"/>
      <c r="Q67" s="294"/>
      <c r="R67" s="294"/>
      <c r="S67" s="294"/>
      <c r="T67" s="294"/>
      <c r="U67" s="294"/>
      <c r="V67" s="294"/>
      <c r="W67" s="294"/>
      <c r="X67" s="294"/>
      <c r="Y67" s="294"/>
      <c r="Z67" s="294"/>
      <c r="AA67" s="294"/>
      <c r="AB67" s="294"/>
      <c r="AC67" s="294"/>
      <c r="AD67" s="294"/>
      <c r="AE67" s="294"/>
      <c r="AF67" s="294"/>
      <c r="AG67" s="294"/>
      <c r="AH67" s="294"/>
      <c r="AI67" s="72"/>
      <c r="AJ67" s="72"/>
      <c r="AK67" s="72"/>
      <c r="AL67" s="72"/>
      <c r="AM67" s="72"/>
      <c r="AN67" s="72"/>
      <c r="AO67" s="72"/>
      <c r="AP67" s="72"/>
      <c r="AQ67" s="72"/>
      <c r="AR67" s="182"/>
    </row>
    <row r="68" spans="1:44" ht="15.75" customHeight="1" x14ac:dyDescent="0.3">
      <c r="A68" s="334"/>
      <c r="B68" s="294"/>
      <c r="C68" s="294"/>
      <c r="D68" s="294"/>
      <c r="E68" s="294"/>
      <c r="F68" s="294"/>
      <c r="G68" s="294"/>
      <c r="H68" s="294"/>
      <c r="I68" s="294"/>
      <c r="J68" s="294"/>
      <c r="K68" s="294"/>
      <c r="L68" s="294"/>
      <c r="M68" s="294"/>
      <c r="N68" s="294"/>
      <c r="O68" s="294"/>
      <c r="P68" s="294"/>
      <c r="Q68" s="294"/>
      <c r="R68" s="294"/>
      <c r="S68" s="294"/>
      <c r="T68" s="294"/>
      <c r="U68" s="294"/>
      <c r="V68" s="294"/>
      <c r="W68" s="294"/>
      <c r="X68" s="294"/>
      <c r="Y68" s="294"/>
      <c r="Z68" s="294"/>
      <c r="AA68" s="294"/>
      <c r="AB68" s="294"/>
      <c r="AC68" s="294"/>
      <c r="AD68" s="294"/>
      <c r="AE68" s="294"/>
      <c r="AF68" s="294"/>
      <c r="AG68" s="294"/>
      <c r="AH68" s="294"/>
      <c r="AI68" s="72"/>
      <c r="AJ68" s="72"/>
      <c r="AK68" s="72"/>
      <c r="AL68" s="72"/>
      <c r="AM68" s="72"/>
      <c r="AN68" s="72"/>
      <c r="AO68" s="72"/>
      <c r="AP68" s="72"/>
      <c r="AQ68" s="72"/>
      <c r="AR68" s="182"/>
    </row>
    <row r="69" spans="1:44" ht="15.75" customHeight="1" x14ac:dyDescent="0.3">
      <c r="A69" s="334"/>
      <c r="B69" s="294"/>
      <c r="C69" s="294"/>
      <c r="D69" s="294"/>
      <c r="E69" s="294"/>
      <c r="F69" s="294"/>
      <c r="G69" s="294"/>
      <c r="H69" s="294"/>
      <c r="I69" s="294"/>
      <c r="J69" s="294"/>
      <c r="K69" s="294"/>
      <c r="L69" s="294"/>
      <c r="M69" s="294"/>
      <c r="N69" s="294"/>
      <c r="O69" s="294"/>
      <c r="P69" s="294"/>
      <c r="Q69" s="294"/>
      <c r="R69" s="294"/>
      <c r="S69" s="294"/>
      <c r="T69" s="294"/>
      <c r="U69" s="294"/>
      <c r="V69" s="294"/>
      <c r="W69" s="294"/>
      <c r="X69" s="294"/>
      <c r="Y69" s="294"/>
      <c r="Z69" s="294"/>
      <c r="AA69" s="294"/>
      <c r="AB69" s="294"/>
      <c r="AC69" s="294"/>
      <c r="AD69" s="294"/>
      <c r="AE69" s="294"/>
      <c r="AF69" s="294"/>
      <c r="AG69" s="294"/>
      <c r="AH69" s="294"/>
      <c r="AI69" s="72"/>
      <c r="AJ69" s="72"/>
      <c r="AK69" s="72"/>
      <c r="AL69" s="72"/>
      <c r="AM69" s="72"/>
      <c r="AN69" s="72"/>
      <c r="AO69" s="72"/>
      <c r="AP69" s="72"/>
      <c r="AQ69" s="72"/>
      <c r="AR69" s="182"/>
    </row>
    <row r="70" spans="1:44" ht="14.25" customHeight="1" x14ac:dyDescent="0.3">
      <c r="A70" s="334"/>
      <c r="B70" s="294"/>
      <c r="C70" s="294"/>
      <c r="D70" s="294"/>
      <c r="E70" s="294"/>
      <c r="F70" s="294"/>
      <c r="G70" s="294"/>
      <c r="H70" s="294"/>
      <c r="I70" s="294"/>
      <c r="J70" s="294"/>
      <c r="K70" s="294"/>
      <c r="L70" s="294"/>
      <c r="M70" s="294"/>
      <c r="N70" s="294"/>
      <c r="O70" s="294"/>
      <c r="P70" s="294"/>
      <c r="Q70" s="294"/>
      <c r="R70" s="294"/>
      <c r="S70" s="294"/>
      <c r="T70" s="294"/>
      <c r="U70" s="294"/>
      <c r="V70" s="294"/>
      <c r="W70" s="294"/>
      <c r="X70" s="294"/>
      <c r="Y70" s="294"/>
      <c r="Z70" s="294"/>
      <c r="AA70" s="294"/>
      <c r="AB70" s="294"/>
      <c r="AC70" s="294"/>
      <c r="AD70" s="294"/>
      <c r="AE70" s="294"/>
      <c r="AF70" s="294"/>
      <c r="AG70" s="294"/>
      <c r="AH70" s="294"/>
      <c r="AI70" s="72"/>
      <c r="AJ70" s="72"/>
      <c r="AK70" s="72"/>
      <c r="AL70" s="72"/>
      <c r="AM70" s="72"/>
      <c r="AN70" s="72"/>
      <c r="AO70" s="72"/>
      <c r="AP70" s="72"/>
      <c r="AQ70" s="72"/>
      <c r="AR70" s="182"/>
    </row>
    <row r="71" spans="1:44" ht="15.75" customHeight="1" thickBot="1" x14ac:dyDescent="0.35">
      <c r="A71" s="334"/>
      <c r="B71" s="294"/>
      <c r="C71" s="294"/>
      <c r="D71" s="294"/>
      <c r="E71" s="294"/>
      <c r="F71" s="294"/>
      <c r="G71" s="294"/>
      <c r="H71" s="294"/>
      <c r="I71" s="294"/>
      <c r="J71" s="294"/>
      <c r="K71" s="294"/>
      <c r="L71" s="294"/>
      <c r="M71" s="294"/>
      <c r="N71" s="294"/>
      <c r="O71" s="294"/>
      <c r="P71" s="294"/>
      <c r="Q71" s="294"/>
      <c r="R71" s="294"/>
      <c r="S71" s="294"/>
      <c r="T71" s="294"/>
      <c r="U71" s="294"/>
      <c r="V71" s="294"/>
      <c r="W71" s="294"/>
      <c r="X71" s="294"/>
      <c r="Y71" s="294"/>
      <c r="Z71" s="294"/>
      <c r="AA71" s="294"/>
      <c r="AB71" s="294"/>
      <c r="AC71" s="294"/>
      <c r="AD71" s="294"/>
      <c r="AE71" s="294"/>
      <c r="AF71" s="294"/>
      <c r="AG71" s="294"/>
      <c r="AH71" s="294"/>
      <c r="AI71" s="72"/>
      <c r="AJ71" s="72"/>
      <c r="AK71" s="72"/>
      <c r="AL71" s="72"/>
      <c r="AM71" s="72"/>
      <c r="AN71" s="72"/>
      <c r="AO71" s="72"/>
      <c r="AP71" s="72"/>
      <c r="AQ71" s="72"/>
      <c r="AR71" s="182"/>
    </row>
    <row r="72" spans="1:44" ht="15.75" customHeight="1" x14ac:dyDescent="0.3">
      <c r="A72" s="334"/>
      <c r="B72" s="294"/>
      <c r="C72" s="294"/>
      <c r="D72" s="294"/>
      <c r="E72" s="294"/>
      <c r="F72" s="294"/>
      <c r="G72" s="294"/>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72"/>
      <c r="AJ72" s="72"/>
      <c r="AK72" s="72"/>
      <c r="AL72" s="72"/>
      <c r="AM72" s="72"/>
      <c r="AN72" s="72"/>
      <c r="AO72" s="289" t="s">
        <v>373</v>
      </c>
      <c r="AP72" s="196"/>
      <c r="AQ72" s="196"/>
      <c r="AR72" s="198"/>
    </row>
    <row r="73" spans="1:44" ht="15.75" customHeight="1" x14ac:dyDescent="0.3">
      <c r="A73" s="334"/>
      <c r="B73" s="294"/>
      <c r="C73" s="294"/>
      <c r="D73" s="294"/>
      <c r="E73" s="294"/>
      <c r="F73" s="294"/>
      <c r="G73" s="294"/>
      <c r="H73" s="294"/>
      <c r="I73" s="294"/>
      <c r="J73" s="294"/>
      <c r="K73" s="294"/>
      <c r="L73" s="294"/>
      <c r="M73" s="294"/>
      <c r="N73" s="294"/>
      <c r="O73" s="294"/>
      <c r="P73" s="294"/>
      <c r="Q73" s="294"/>
      <c r="R73" s="294"/>
      <c r="S73" s="294"/>
      <c r="T73" s="294"/>
      <c r="U73" s="294"/>
      <c r="V73" s="294"/>
      <c r="W73" s="294"/>
      <c r="X73" s="294"/>
      <c r="Y73" s="294"/>
      <c r="Z73" s="294"/>
      <c r="AA73" s="294"/>
      <c r="AB73" s="294"/>
      <c r="AC73" s="294"/>
      <c r="AD73" s="294"/>
      <c r="AE73" s="294"/>
      <c r="AF73" s="294"/>
      <c r="AG73" s="294"/>
      <c r="AH73" s="294"/>
      <c r="AI73" s="72"/>
      <c r="AJ73" s="72"/>
      <c r="AK73" s="72"/>
      <c r="AL73" s="72"/>
      <c r="AM73" s="72"/>
      <c r="AN73" s="72"/>
      <c r="AO73" s="197"/>
      <c r="AP73" s="72"/>
      <c r="AQ73" s="72"/>
      <c r="AR73" s="182"/>
    </row>
    <row r="74" spans="1:44" ht="15.75" customHeight="1" x14ac:dyDescent="0.3">
      <c r="A74" s="334"/>
      <c r="B74" s="294"/>
      <c r="C74" s="294"/>
      <c r="D74" s="294"/>
      <c r="E74" s="294"/>
      <c r="F74" s="294"/>
      <c r="G74" s="294"/>
      <c r="H74" s="294"/>
      <c r="I74" s="294"/>
      <c r="J74" s="294"/>
      <c r="K74" s="294"/>
      <c r="L74" s="294"/>
      <c r="M74" s="294"/>
      <c r="N74" s="294"/>
      <c r="O74" s="294"/>
      <c r="P74" s="294"/>
      <c r="Q74" s="294"/>
      <c r="R74" s="294"/>
      <c r="S74" s="294"/>
      <c r="T74" s="294"/>
      <c r="U74" s="294"/>
      <c r="V74" s="294"/>
      <c r="W74" s="294"/>
      <c r="X74" s="294"/>
      <c r="Y74" s="294"/>
      <c r="Z74" s="294"/>
      <c r="AA74" s="294"/>
      <c r="AB74" s="294"/>
      <c r="AC74" s="294"/>
      <c r="AD74" s="294"/>
      <c r="AE74" s="294"/>
      <c r="AF74" s="294"/>
      <c r="AG74" s="294"/>
      <c r="AH74" s="294"/>
      <c r="AI74" s="72"/>
      <c r="AJ74" s="72"/>
      <c r="AK74" s="72"/>
      <c r="AL74" s="72"/>
      <c r="AM74" s="72"/>
      <c r="AN74" s="72"/>
      <c r="AO74" s="197"/>
      <c r="AP74" s="72"/>
      <c r="AQ74" s="72"/>
      <c r="AR74" s="182"/>
    </row>
    <row r="75" spans="1:44" ht="15.75" customHeight="1" x14ac:dyDescent="0.3">
      <c r="A75" s="334"/>
      <c r="B75" s="294"/>
      <c r="C75" s="294"/>
      <c r="D75" s="294"/>
      <c r="E75" s="294"/>
      <c r="F75" s="294"/>
      <c r="G75" s="294"/>
      <c r="H75" s="294"/>
      <c r="I75" s="294"/>
      <c r="J75" s="294"/>
      <c r="K75" s="294"/>
      <c r="L75" s="294"/>
      <c r="M75" s="294"/>
      <c r="N75" s="294"/>
      <c r="O75" s="294"/>
      <c r="P75" s="294"/>
      <c r="Q75" s="294"/>
      <c r="R75" s="294"/>
      <c r="S75" s="294"/>
      <c r="T75" s="294"/>
      <c r="U75" s="294"/>
      <c r="V75" s="294"/>
      <c r="W75" s="294"/>
      <c r="X75" s="294"/>
      <c r="Y75" s="294"/>
      <c r="Z75" s="294"/>
      <c r="AA75" s="294"/>
      <c r="AB75" s="294"/>
      <c r="AC75" s="294"/>
      <c r="AD75" s="294"/>
      <c r="AE75" s="294"/>
      <c r="AF75" s="294"/>
      <c r="AG75" s="294"/>
      <c r="AH75" s="294"/>
      <c r="AI75" s="72"/>
      <c r="AJ75" s="72"/>
      <c r="AK75" s="72"/>
      <c r="AL75" s="72"/>
      <c r="AM75" s="72"/>
      <c r="AN75" s="72"/>
      <c r="AO75" s="197"/>
      <c r="AP75" s="72"/>
      <c r="AQ75" s="72"/>
      <c r="AR75" s="182"/>
    </row>
    <row r="76" spans="1:44" x14ac:dyDescent="0.3">
      <c r="A76" s="334"/>
      <c r="B76" s="294"/>
      <c r="C76" s="294"/>
      <c r="D76" s="294"/>
      <c r="E76" s="294"/>
      <c r="F76" s="294"/>
      <c r="G76" s="294"/>
      <c r="H76" s="294"/>
      <c r="I76" s="294"/>
      <c r="J76" s="294"/>
      <c r="K76" s="294"/>
      <c r="L76" s="294"/>
      <c r="M76" s="294"/>
      <c r="N76" s="294"/>
      <c r="O76" s="294"/>
      <c r="P76" s="294"/>
      <c r="Q76" s="294"/>
      <c r="R76" s="294"/>
      <c r="S76" s="294"/>
      <c r="T76" s="294"/>
      <c r="U76" s="294"/>
      <c r="V76" s="294"/>
      <c r="W76" s="294"/>
      <c r="X76" s="294"/>
      <c r="Y76" s="294"/>
      <c r="Z76" s="294"/>
      <c r="AA76" s="294"/>
      <c r="AB76" s="294"/>
      <c r="AC76" s="294"/>
      <c r="AD76" s="294"/>
      <c r="AE76" s="294"/>
      <c r="AF76" s="294"/>
      <c r="AG76" s="294"/>
      <c r="AH76" s="294"/>
      <c r="AI76" s="72"/>
      <c r="AJ76" s="72"/>
      <c r="AK76" s="72"/>
      <c r="AL76" s="72"/>
      <c r="AM76" s="72"/>
      <c r="AN76" s="72"/>
      <c r="AO76" s="197"/>
      <c r="AP76" s="72"/>
      <c r="AQ76" s="72"/>
      <c r="AR76" s="182"/>
    </row>
    <row r="77" spans="1:44" x14ac:dyDescent="0.3">
      <c r="A77" s="334"/>
      <c r="B77" s="294"/>
      <c r="C77" s="294"/>
      <c r="D77" s="294"/>
      <c r="E77" s="294"/>
      <c r="F77" s="294"/>
      <c r="G77" s="294"/>
      <c r="H77" s="294"/>
      <c r="I77" s="294"/>
      <c r="J77" s="294"/>
      <c r="K77" s="294"/>
      <c r="L77" s="294"/>
      <c r="M77" s="294"/>
      <c r="N77" s="294"/>
      <c r="O77" s="294"/>
      <c r="P77" s="294"/>
      <c r="Q77" s="294"/>
      <c r="R77" s="294"/>
      <c r="S77" s="294"/>
      <c r="T77" s="294"/>
      <c r="U77" s="294"/>
      <c r="V77" s="294"/>
      <c r="W77" s="294"/>
      <c r="X77" s="294"/>
      <c r="Y77" s="294"/>
      <c r="Z77" s="294"/>
      <c r="AA77" s="294"/>
      <c r="AB77" s="294"/>
      <c r="AC77" s="294"/>
      <c r="AD77" s="294"/>
      <c r="AE77" s="294"/>
      <c r="AF77" s="294"/>
      <c r="AG77" s="294"/>
      <c r="AH77" s="294"/>
      <c r="AI77" s="72"/>
      <c r="AJ77" s="72"/>
      <c r="AK77" s="72"/>
      <c r="AL77" s="72"/>
      <c r="AM77" s="72"/>
      <c r="AN77" s="72"/>
      <c r="AO77" s="197"/>
      <c r="AP77" s="72"/>
      <c r="AQ77" s="72"/>
      <c r="AR77" s="182"/>
    </row>
    <row r="78" spans="1:44" x14ac:dyDescent="0.3">
      <c r="A78" s="334"/>
      <c r="B78" s="294"/>
      <c r="C78" s="294"/>
      <c r="D78" s="294"/>
      <c r="E78" s="294"/>
      <c r="F78" s="294"/>
      <c r="G78" s="294"/>
      <c r="H78" s="294"/>
      <c r="I78" s="294"/>
      <c r="J78" s="294"/>
      <c r="K78" s="294"/>
      <c r="L78" s="294"/>
      <c r="M78" s="294"/>
      <c r="N78" s="294"/>
      <c r="O78" s="294"/>
      <c r="P78" s="294"/>
      <c r="Q78" s="294"/>
      <c r="R78" s="294"/>
      <c r="S78" s="294"/>
      <c r="T78" s="294"/>
      <c r="U78" s="294"/>
      <c r="V78" s="294"/>
      <c r="W78" s="294"/>
      <c r="X78" s="294"/>
      <c r="Y78" s="294"/>
      <c r="Z78" s="294"/>
      <c r="AA78" s="294"/>
      <c r="AB78" s="294"/>
      <c r="AC78" s="294"/>
      <c r="AD78" s="294"/>
      <c r="AE78" s="294"/>
      <c r="AF78" s="294"/>
      <c r="AG78" s="294"/>
      <c r="AH78" s="294"/>
      <c r="AI78" s="72"/>
      <c r="AJ78" s="72"/>
      <c r="AK78" s="72"/>
      <c r="AL78" s="72"/>
      <c r="AM78" s="72"/>
      <c r="AN78" s="72"/>
      <c r="AO78" s="197"/>
      <c r="AP78" s="72"/>
      <c r="AQ78" s="72"/>
      <c r="AR78" s="182"/>
    </row>
    <row r="79" spans="1:44" x14ac:dyDescent="0.3">
      <c r="A79" s="334"/>
      <c r="B79" s="294"/>
      <c r="C79" s="294"/>
      <c r="D79" s="294"/>
      <c r="E79" s="294"/>
      <c r="F79" s="294"/>
      <c r="G79" s="294"/>
      <c r="H79" s="294"/>
      <c r="I79" s="294"/>
      <c r="J79" s="294"/>
      <c r="K79" s="294"/>
      <c r="L79" s="294"/>
      <c r="M79" s="294"/>
      <c r="N79" s="294"/>
      <c r="O79" s="294"/>
      <c r="P79" s="294"/>
      <c r="Q79" s="294"/>
      <c r="R79" s="294"/>
      <c r="S79" s="294"/>
      <c r="T79" s="294"/>
      <c r="U79" s="294"/>
      <c r="V79" s="294"/>
      <c r="W79" s="294"/>
      <c r="X79" s="294"/>
      <c r="Y79" s="294"/>
      <c r="Z79" s="294"/>
      <c r="AA79" s="294"/>
      <c r="AB79" s="294"/>
      <c r="AC79" s="294"/>
      <c r="AD79" s="294"/>
      <c r="AE79" s="294"/>
      <c r="AF79" s="294"/>
      <c r="AG79" s="294"/>
      <c r="AH79" s="294"/>
      <c r="AI79" s="72"/>
      <c r="AJ79" s="72"/>
      <c r="AK79" s="72"/>
      <c r="AL79" s="72"/>
      <c r="AM79" s="72"/>
      <c r="AN79" s="72"/>
      <c r="AO79" s="197"/>
      <c r="AP79" s="72"/>
      <c r="AQ79" s="72"/>
      <c r="AR79" s="182"/>
    </row>
    <row r="80" spans="1:44" ht="16.2" thickBot="1" x14ac:dyDescent="0.35">
      <c r="A80" s="334"/>
      <c r="B80" s="294"/>
      <c r="C80" s="294"/>
      <c r="D80" s="294"/>
      <c r="E80" s="294"/>
      <c r="F80" s="294"/>
      <c r="G80" s="294"/>
      <c r="H80" s="294"/>
      <c r="I80" s="294"/>
      <c r="J80" s="294"/>
      <c r="K80" s="294"/>
      <c r="L80" s="294"/>
      <c r="M80" s="294"/>
      <c r="N80" s="294"/>
      <c r="O80" s="294"/>
      <c r="P80" s="294"/>
      <c r="Q80" s="294"/>
      <c r="R80" s="294"/>
      <c r="S80" s="294"/>
      <c r="T80" s="294"/>
      <c r="U80" s="294"/>
      <c r="V80" s="294"/>
      <c r="W80" s="294"/>
      <c r="X80" s="294"/>
      <c r="Y80" s="294"/>
      <c r="Z80" s="294"/>
      <c r="AA80" s="294"/>
      <c r="AB80" s="294"/>
      <c r="AC80" s="294"/>
      <c r="AD80" s="294"/>
      <c r="AE80" s="294"/>
      <c r="AF80" s="294"/>
      <c r="AG80" s="294"/>
      <c r="AH80" s="294"/>
      <c r="AI80" s="72"/>
      <c r="AJ80" s="72"/>
      <c r="AK80" s="72"/>
      <c r="AL80" s="72"/>
      <c r="AM80" s="72"/>
      <c r="AN80" s="72"/>
      <c r="AO80" s="290"/>
      <c r="AP80" s="291"/>
      <c r="AQ80" s="291"/>
      <c r="AR80" s="341"/>
    </row>
    <row r="81" spans="1:45" ht="15.75" customHeight="1" x14ac:dyDescent="0.3">
      <c r="A81" s="334"/>
      <c r="B81" s="294"/>
      <c r="C81" s="294"/>
      <c r="D81" s="294"/>
      <c r="E81" s="294"/>
      <c r="F81" s="294"/>
      <c r="G81" s="294"/>
      <c r="H81" s="294"/>
      <c r="I81" s="294"/>
      <c r="J81" s="294"/>
      <c r="K81" s="294"/>
      <c r="L81" s="294"/>
      <c r="M81" s="294"/>
      <c r="N81" s="294"/>
      <c r="O81" s="294"/>
      <c r="P81" s="294"/>
      <c r="Q81" s="294"/>
      <c r="R81" s="294"/>
      <c r="S81" s="294"/>
      <c r="T81" s="294"/>
      <c r="U81" s="294"/>
      <c r="V81" s="294"/>
      <c r="W81" s="294"/>
      <c r="X81" s="294"/>
      <c r="Y81" s="294"/>
      <c r="Z81" s="294"/>
      <c r="AA81" s="294"/>
      <c r="AB81" s="294"/>
      <c r="AC81" s="294"/>
      <c r="AD81" s="294"/>
      <c r="AE81" s="294"/>
      <c r="AF81" s="294"/>
      <c r="AG81" s="294"/>
      <c r="AH81" s="294"/>
      <c r="AI81" s="72"/>
      <c r="AJ81" s="195"/>
      <c r="AK81" s="196"/>
      <c r="AL81" s="196"/>
      <c r="AM81" s="196"/>
      <c r="AN81" s="196"/>
      <c r="AO81" s="196"/>
      <c r="AP81" s="196"/>
      <c r="AQ81" s="196"/>
      <c r="AR81" s="198"/>
    </row>
    <row r="82" spans="1:45" ht="15.75" customHeight="1" x14ac:dyDescent="0.3">
      <c r="A82" s="334"/>
      <c r="B82" s="294"/>
      <c r="C82" s="294"/>
      <c r="D82" s="294"/>
      <c r="E82" s="294"/>
      <c r="F82" s="294"/>
      <c r="G82" s="294"/>
      <c r="H82" s="294"/>
      <c r="I82" s="294"/>
      <c r="J82" s="294"/>
      <c r="K82" s="294"/>
      <c r="L82" s="294"/>
      <c r="M82" s="294"/>
      <c r="N82" s="294"/>
      <c r="O82" s="294"/>
      <c r="P82" s="294"/>
      <c r="Q82" s="294"/>
      <c r="R82" s="294"/>
      <c r="S82" s="294"/>
      <c r="T82" s="294"/>
      <c r="U82" s="294"/>
      <c r="V82" s="294"/>
      <c r="W82" s="294"/>
      <c r="X82" s="294"/>
      <c r="Y82" s="294"/>
      <c r="Z82" s="294"/>
      <c r="AA82" s="294"/>
      <c r="AB82" s="294"/>
      <c r="AC82" s="294"/>
      <c r="AD82" s="294"/>
      <c r="AE82" s="294"/>
      <c r="AF82" s="294"/>
      <c r="AG82" s="294"/>
      <c r="AH82" s="294"/>
      <c r="AI82" s="72"/>
      <c r="AJ82" s="197"/>
      <c r="AK82" s="72"/>
      <c r="AL82" s="72"/>
      <c r="AM82" s="72"/>
      <c r="AN82" s="72"/>
      <c r="AO82" s="72"/>
      <c r="AP82" s="72"/>
      <c r="AQ82" s="72"/>
      <c r="AR82" s="182"/>
    </row>
    <row r="83" spans="1:45" ht="15.75" customHeight="1" x14ac:dyDescent="0.3">
      <c r="A83" s="334"/>
      <c r="B83" s="294"/>
      <c r="C83" s="294"/>
      <c r="D83" s="294"/>
      <c r="E83" s="294"/>
      <c r="F83" s="294"/>
      <c r="G83" s="294"/>
      <c r="H83" s="294"/>
      <c r="I83" s="294"/>
      <c r="J83" s="294"/>
      <c r="K83" s="294"/>
      <c r="L83" s="294"/>
      <c r="M83" s="294"/>
      <c r="N83" s="294"/>
      <c r="O83" s="294"/>
      <c r="P83" s="294"/>
      <c r="Q83" s="294"/>
      <c r="R83" s="294"/>
      <c r="S83" s="294"/>
      <c r="T83" s="294"/>
      <c r="U83" s="294"/>
      <c r="V83" s="294"/>
      <c r="W83" s="294"/>
      <c r="X83" s="294"/>
      <c r="Y83" s="294"/>
      <c r="Z83" s="294"/>
      <c r="AA83" s="294"/>
      <c r="AB83" s="294"/>
      <c r="AC83" s="294"/>
      <c r="AD83" s="294"/>
      <c r="AE83" s="294"/>
      <c r="AF83" s="294"/>
      <c r="AG83" s="294"/>
      <c r="AH83" s="294"/>
      <c r="AI83" s="72"/>
      <c r="AJ83" s="197"/>
      <c r="AK83" s="72"/>
      <c r="AL83" s="72"/>
      <c r="AM83" s="72"/>
      <c r="AN83" s="72"/>
      <c r="AO83" s="72"/>
      <c r="AP83" s="72"/>
      <c r="AQ83" s="72"/>
      <c r="AR83" s="182"/>
    </row>
    <row r="84" spans="1:45" ht="15.75" customHeight="1" x14ac:dyDescent="0.3">
      <c r="A84" s="334"/>
      <c r="B84" s="294"/>
      <c r="C84" s="294"/>
      <c r="D84" s="294"/>
      <c r="E84" s="294"/>
      <c r="F84" s="294"/>
      <c r="G84" s="294"/>
      <c r="H84" s="294"/>
      <c r="I84" s="294"/>
      <c r="J84" s="294"/>
      <c r="K84" s="294"/>
      <c r="L84" s="294"/>
      <c r="M84" s="294"/>
      <c r="N84" s="294"/>
      <c r="O84" s="294"/>
      <c r="P84" s="294"/>
      <c r="Q84" s="294"/>
      <c r="R84" s="294"/>
      <c r="S84" s="294"/>
      <c r="T84" s="294"/>
      <c r="U84" s="294"/>
      <c r="V84" s="294"/>
      <c r="W84" s="294"/>
      <c r="X84" s="294"/>
      <c r="Y84" s="294"/>
      <c r="Z84" s="294"/>
      <c r="AA84" s="294"/>
      <c r="AB84" s="294"/>
      <c r="AC84" s="294"/>
      <c r="AD84" s="294"/>
      <c r="AE84" s="294"/>
      <c r="AF84" s="294"/>
      <c r="AG84" s="294"/>
      <c r="AH84" s="294"/>
      <c r="AI84" s="72"/>
      <c r="AJ84" s="197"/>
      <c r="AK84" s="72"/>
      <c r="AL84" s="72"/>
      <c r="AM84" s="72"/>
      <c r="AN84" s="72"/>
      <c r="AO84" s="72"/>
      <c r="AP84" s="72"/>
      <c r="AQ84" s="72"/>
      <c r="AR84" s="182"/>
    </row>
    <row r="85" spans="1:45" ht="15.75" customHeight="1" x14ac:dyDescent="0.3">
      <c r="A85" s="334"/>
      <c r="B85" s="294"/>
      <c r="C85" s="294"/>
      <c r="D85" s="294"/>
      <c r="E85" s="294"/>
      <c r="F85" s="294"/>
      <c r="G85" s="294"/>
      <c r="H85" s="294"/>
      <c r="I85" s="294"/>
      <c r="J85" s="294"/>
      <c r="K85" s="294"/>
      <c r="L85" s="294"/>
      <c r="M85" s="294"/>
      <c r="N85" s="294"/>
      <c r="O85" s="294"/>
      <c r="P85" s="294"/>
      <c r="Q85" s="294"/>
      <c r="R85" s="294"/>
      <c r="S85" s="294"/>
      <c r="T85" s="294"/>
      <c r="U85" s="294"/>
      <c r="V85" s="294"/>
      <c r="W85" s="294"/>
      <c r="X85" s="294"/>
      <c r="Y85" s="294"/>
      <c r="Z85" s="294"/>
      <c r="AA85" s="294"/>
      <c r="AB85" s="294"/>
      <c r="AC85" s="294"/>
      <c r="AD85" s="294"/>
      <c r="AE85" s="294"/>
      <c r="AF85" s="294"/>
      <c r="AG85" s="294"/>
      <c r="AH85" s="294"/>
      <c r="AI85" s="72"/>
      <c r="AJ85" s="197"/>
      <c r="AK85" s="72"/>
      <c r="AL85" s="72"/>
      <c r="AM85" s="72"/>
      <c r="AN85" s="72"/>
      <c r="AO85" s="72"/>
      <c r="AP85" s="72"/>
      <c r="AQ85" s="72"/>
      <c r="AR85" s="182"/>
    </row>
    <row r="86" spans="1:45" ht="15.75" customHeight="1" x14ac:dyDescent="0.3">
      <c r="A86" s="334"/>
      <c r="B86" s="294"/>
      <c r="C86" s="294"/>
      <c r="D86" s="294"/>
      <c r="E86" s="294"/>
      <c r="F86" s="294"/>
      <c r="G86" s="294"/>
      <c r="H86" s="294"/>
      <c r="I86" s="294"/>
      <c r="J86" s="294"/>
      <c r="K86" s="294"/>
      <c r="L86" s="294"/>
      <c r="M86" s="294"/>
      <c r="N86" s="294"/>
      <c r="O86" s="294"/>
      <c r="P86" s="294"/>
      <c r="Q86" s="294"/>
      <c r="R86" s="294"/>
      <c r="S86" s="294"/>
      <c r="T86" s="294"/>
      <c r="U86" s="294"/>
      <c r="V86" s="294"/>
      <c r="W86" s="294"/>
      <c r="X86" s="294"/>
      <c r="Y86" s="294"/>
      <c r="Z86" s="294"/>
      <c r="AA86" s="294"/>
      <c r="AB86" s="294"/>
      <c r="AC86" s="294"/>
      <c r="AD86" s="294"/>
      <c r="AE86" s="294"/>
      <c r="AF86" s="294"/>
      <c r="AG86" s="294"/>
      <c r="AH86" s="294"/>
      <c r="AI86" s="72"/>
      <c r="AJ86" s="557" t="s">
        <v>316</v>
      </c>
      <c r="AK86" s="558"/>
      <c r="AL86" s="558"/>
      <c r="AM86" s="558"/>
      <c r="AN86" s="558"/>
      <c r="AO86" s="558"/>
      <c r="AP86" s="558"/>
      <c r="AQ86" s="558"/>
      <c r="AR86" s="559"/>
    </row>
    <row r="87" spans="1:45" ht="15.75" customHeight="1" x14ac:dyDescent="0.3">
      <c r="A87" s="334"/>
      <c r="B87" s="294"/>
      <c r="C87" s="294"/>
      <c r="D87" s="294"/>
      <c r="E87" s="294"/>
      <c r="F87" s="294"/>
      <c r="G87" s="294"/>
      <c r="H87" s="294"/>
      <c r="I87" s="294"/>
      <c r="J87" s="294"/>
      <c r="K87" s="294"/>
      <c r="L87" s="294"/>
      <c r="M87" s="294"/>
      <c r="N87" s="294"/>
      <c r="O87" s="294"/>
      <c r="P87" s="294"/>
      <c r="Q87" s="294"/>
      <c r="R87" s="294"/>
      <c r="S87" s="294"/>
      <c r="T87" s="294"/>
      <c r="U87" s="294"/>
      <c r="V87" s="294"/>
      <c r="W87" s="294"/>
      <c r="X87" s="294"/>
      <c r="Y87" s="294"/>
      <c r="Z87" s="294"/>
      <c r="AA87" s="294"/>
      <c r="AB87" s="294"/>
      <c r="AC87" s="294"/>
      <c r="AD87" s="294"/>
      <c r="AE87" s="294"/>
      <c r="AF87" s="294"/>
      <c r="AG87" s="294"/>
      <c r="AH87" s="294"/>
      <c r="AI87" s="72"/>
      <c r="AJ87" s="560"/>
      <c r="AK87" s="561"/>
      <c r="AL87" s="561"/>
      <c r="AM87" s="561"/>
      <c r="AN87" s="561"/>
      <c r="AO87" s="561"/>
      <c r="AP87" s="561"/>
      <c r="AQ87" s="561"/>
      <c r="AR87" s="562"/>
    </row>
    <row r="88" spans="1:45" ht="15.75" customHeight="1" x14ac:dyDescent="0.3">
      <c r="A88" s="334"/>
      <c r="B88" s="294"/>
      <c r="C88" s="294"/>
      <c r="D88" s="294"/>
      <c r="E88" s="294"/>
      <c r="F88" s="294"/>
      <c r="G88" s="294"/>
      <c r="H88" s="294"/>
      <c r="I88" s="294"/>
      <c r="J88" s="294"/>
      <c r="K88" s="294"/>
      <c r="L88" s="294"/>
      <c r="M88" s="294"/>
      <c r="N88" s="294"/>
      <c r="O88" s="294"/>
      <c r="P88" s="294"/>
      <c r="Q88" s="294"/>
      <c r="R88" s="294"/>
      <c r="S88" s="294"/>
      <c r="T88" s="294"/>
      <c r="U88" s="294"/>
      <c r="V88" s="294"/>
      <c r="W88" s="294"/>
      <c r="X88" s="294"/>
      <c r="Y88" s="294"/>
      <c r="Z88" s="294"/>
      <c r="AA88" s="294"/>
      <c r="AB88" s="294"/>
      <c r="AC88" s="294"/>
      <c r="AD88" s="294"/>
      <c r="AE88" s="294"/>
      <c r="AF88" s="294"/>
      <c r="AG88" s="294"/>
      <c r="AH88" s="294"/>
      <c r="AI88" s="72"/>
      <c r="AJ88" s="574" t="s">
        <v>465</v>
      </c>
      <c r="AK88" s="503"/>
      <c r="AL88" s="503"/>
      <c r="AM88" s="503"/>
      <c r="AN88" s="503"/>
      <c r="AO88" s="503"/>
      <c r="AP88" s="503"/>
      <c r="AQ88" s="503"/>
      <c r="AR88" s="504"/>
    </row>
    <row r="89" spans="1:45" ht="15.75" customHeight="1" x14ac:dyDescent="0.3">
      <c r="A89" s="334"/>
      <c r="B89" s="294"/>
      <c r="C89" s="294"/>
      <c r="D89" s="294"/>
      <c r="E89" s="294"/>
      <c r="F89" s="294"/>
      <c r="G89" s="294"/>
      <c r="H89" s="294"/>
      <c r="I89" s="294"/>
      <c r="J89" s="294"/>
      <c r="K89" s="294"/>
      <c r="L89" s="294"/>
      <c r="M89" s="294"/>
      <c r="N89" s="294"/>
      <c r="O89" s="294"/>
      <c r="P89" s="294"/>
      <c r="Q89" s="294"/>
      <c r="R89" s="294"/>
      <c r="S89" s="294"/>
      <c r="T89" s="294"/>
      <c r="U89" s="294"/>
      <c r="V89" s="294"/>
      <c r="W89" s="294"/>
      <c r="X89" s="294"/>
      <c r="Y89" s="294"/>
      <c r="Z89" s="294"/>
      <c r="AA89" s="294"/>
      <c r="AB89" s="294"/>
      <c r="AC89" s="294"/>
      <c r="AD89" s="294"/>
      <c r="AE89" s="294"/>
      <c r="AF89" s="294"/>
      <c r="AG89" s="294"/>
      <c r="AH89" s="294"/>
      <c r="AI89" s="72"/>
      <c r="AJ89" s="575"/>
      <c r="AK89" s="506"/>
      <c r="AL89" s="506"/>
      <c r="AM89" s="506"/>
      <c r="AN89" s="506"/>
      <c r="AO89" s="506"/>
      <c r="AP89" s="506"/>
      <c r="AQ89" s="506"/>
      <c r="AR89" s="507"/>
    </row>
    <row r="90" spans="1:45" ht="15.75" customHeight="1" x14ac:dyDescent="0.3">
      <c r="A90" s="334"/>
      <c r="B90" s="294"/>
      <c r="C90" s="294"/>
      <c r="D90" s="294"/>
      <c r="E90" s="294"/>
      <c r="F90" s="294"/>
      <c r="G90" s="294"/>
      <c r="H90" s="294"/>
      <c r="I90" s="294"/>
      <c r="J90" s="294"/>
      <c r="K90" s="294"/>
      <c r="L90" s="294"/>
      <c r="M90" s="294"/>
      <c r="N90" s="294"/>
      <c r="O90" s="294"/>
      <c r="P90" s="294"/>
      <c r="Q90" s="294"/>
      <c r="R90" s="294"/>
      <c r="S90" s="294"/>
      <c r="T90" s="294"/>
      <c r="U90" s="294"/>
      <c r="V90" s="294"/>
      <c r="W90" s="294"/>
      <c r="X90" s="294"/>
      <c r="Y90" s="294"/>
      <c r="Z90" s="294"/>
      <c r="AA90" s="294"/>
      <c r="AB90" s="294"/>
      <c r="AC90" s="294"/>
      <c r="AD90" s="294"/>
      <c r="AE90" s="294"/>
      <c r="AF90" s="294"/>
      <c r="AG90" s="294"/>
      <c r="AH90" s="294"/>
      <c r="AI90" s="72"/>
      <c r="AJ90" s="228"/>
      <c r="AK90" s="229"/>
      <c r="AL90" s="229"/>
      <c r="AM90" s="229"/>
      <c r="AN90" s="229"/>
      <c r="AO90" s="229"/>
      <c r="AP90" s="229"/>
      <c r="AQ90" s="229"/>
      <c r="AR90" s="230"/>
    </row>
    <row r="91" spans="1:45" ht="15.75" customHeight="1" x14ac:dyDescent="0.3">
      <c r="A91" s="334"/>
      <c r="B91" s="294"/>
      <c r="C91" s="294"/>
      <c r="D91" s="294"/>
      <c r="E91" s="294"/>
      <c r="F91" s="294"/>
      <c r="G91" s="294"/>
      <c r="H91" s="294"/>
      <c r="I91" s="294"/>
      <c r="J91" s="294"/>
      <c r="K91" s="294"/>
      <c r="L91" s="294"/>
      <c r="M91" s="294"/>
      <c r="N91" s="294"/>
      <c r="O91" s="294"/>
      <c r="P91" s="294"/>
      <c r="Q91" s="294"/>
      <c r="R91" s="294"/>
      <c r="S91" s="294"/>
      <c r="T91" s="294"/>
      <c r="U91" s="294"/>
      <c r="V91" s="294"/>
      <c r="W91" s="294"/>
      <c r="X91" s="294"/>
      <c r="Y91" s="294"/>
      <c r="Z91" s="294"/>
      <c r="AA91" s="294"/>
      <c r="AB91" s="294"/>
      <c r="AC91" s="294"/>
      <c r="AD91" s="294"/>
      <c r="AE91" s="294"/>
      <c r="AF91" s="294"/>
      <c r="AG91" s="294"/>
      <c r="AH91" s="294"/>
      <c r="AI91" s="72"/>
      <c r="AJ91" s="197"/>
      <c r="AK91" s="72"/>
      <c r="AL91" s="72"/>
      <c r="AM91" s="72"/>
      <c r="AN91" s="72"/>
      <c r="AO91" s="72"/>
      <c r="AP91" s="72"/>
      <c r="AQ91" s="72"/>
      <c r="AR91" s="182"/>
    </row>
    <row r="92" spans="1:45" ht="15.75" customHeight="1" x14ac:dyDescent="0.3">
      <c r="A92" s="334"/>
      <c r="B92" s="294"/>
      <c r="C92" s="294"/>
      <c r="D92" s="294"/>
      <c r="E92" s="294"/>
      <c r="F92" s="294"/>
      <c r="G92" s="294"/>
      <c r="H92" s="294"/>
      <c r="I92" s="294"/>
      <c r="J92" s="294"/>
      <c r="K92" s="294"/>
      <c r="L92" s="294"/>
      <c r="M92" s="294"/>
      <c r="N92" s="294"/>
      <c r="O92" s="294"/>
      <c r="P92" s="294"/>
      <c r="Q92" s="294"/>
      <c r="R92" s="294"/>
      <c r="S92" s="294"/>
      <c r="T92" s="294"/>
      <c r="U92" s="294"/>
      <c r="V92" s="294"/>
      <c r="W92" s="294"/>
      <c r="X92" s="294"/>
      <c r="Y92" s="294"/>
      <c r="Z92" s="294"/>
      <c r="AA92" s="294"/>
      <c r="AB92" s="294"/>
      <c r="AC92" s="294"/>
      <c r="AD92" s="294"/>
      <c r="AE92" s="294"/>
      <c r="AF92" s="294"/>
      <c r="AG92" s="294"/>
      <c r="AH92" s="294"/>
      <c r="AI92" s="72"/>
      <c r="AJ92" s="197"/>
      <c r="AK92" s="72"/>
      <c r="AL92" s="72"/>
      <c r="AM92" s="72"/>
      <c r="AN92" s="72"/>
      <c r="AO92" s="72"/>
      <c r="AP92" s="72"/>
      <c r="AQ92" s="72"/>
      <c r="AR92" s="182"/>
    </row>
    <row r="93" spans="1:45" ht="15.75" customHeight="1" x14ac:dyDescent="0.3">
      <c r="A93" s="334"/>
      <c r="B93" s="294"/>
      <c r="C93" s="294"/>
      <c r="D93" s="294"/>
      <c r="E93" s="294"/>
      <c r="F93" s="294"/>
      <c r="G93" s="294"/>
      <c r="H93" s="294"/>
      <c r="I93" s="294"/>
      <c r="J93" s="294"/>
      <c r="K93" s="294"/>
      <c r="L93" s="294"/>
      <c r="M93" s="294"/>
      <c r="N93" s="294"/>
      <c r="O93" s="294"/>
      <c r="P93" s="294"/>
      <c r="Q93" s="294"/>
      <c r="R93" s="294"/>
      <c r="S93" s="294"/>
      <c r="T93" s="294"/>
      <c r="U93" s="294"/>
      <c r="V93" s="294"/>
      <c r="W93" s="294"/>
      <c r="X93" s="294"/>
      <c r="Y93" s="294"/>
      <c r="Z93" s="294"/>
      <c r="AA93" s="294"/>
      <c r="AB93" s="294"/>
      <c r="AC93" s="294"/>
      <c r="AD93" s="294"/>
      <c r="AE93" s="294"/>
      <c r="AF93" s="294"/>
      <c r="AG93" s="294"/>
      <c r="AH93" s="294"/>
      <c r="AI93" s="72"/>
      <c r="AJ93" s="197"/>
      <c r="AK93" s="72"/>
      <c r="AL93" s="72"/>
      <c r="AM93" s="487" t="s">
        <v>308</v>
      </c>
      <c r="AN93" s="487"/>
      <c r="AO93" s="488">
        <v>2</v>
      </c>
      <c r="AP93" s="487" t="s">
        <v>309</v>
      </c>
      <c r="AQ93" s="488">
        <v>2</v>
      </c>
      <c r="AR93" s="182"/>
    </row>
    <row r="94" spans="1:45" ht="14.25" customHeight="1" x14ac:dyDescent="0.3">
      <c r="A94" s="335"/>
      <c r="B94" s="146"/>
      <c r="C94" s="146"/>
      <c r="D94" s="146"/>
      <c r="E94" s="146"/>
      <c r="F94" s="146"/>
      <c r="G94" s="146"/>
      <c r="H94" s="146"/>
      <c r="I94" s="146"/>
      <c r="J94" s="146"/>
      <c r="K94" s="146"/>
      <c r="L94" s="72"/>
      <c r="N94" s="285"/>
      <c r="O94" s="284"/>
      <c r="AE94" s="72"/>
      <c r="AF94" s="72"/>
      <c r="AG94" s="72"/>
      <c r="AH94" s="72"/>
      <c r="AI94" s="72"/>
      <c r="AJ94" s="197"/>
      <c r="AK94" s="146"/>
      <c r="AL94" s="72"/>
      <c r="AM94" s="487"/>
      <c r="AN94" s="487"/>
      <c r="AO94" s="489"/>
      <c r="AP94" s="487"/>
      <c r="AQ94" s="489"/>
      <c r="AR94" s="182"/>
    </row>
    <row r="95" spans="1:45" ht="15.75" customHeight="1" thickBot="1" x14ac:dyDescent="0.35">
      <c r="A95" s="336"/>
      <c r="B95" s="194"/>
      <c r="C95" s="194"/>
      <c r="D95" s="194"/>
      <c r="E95" s="194"/>
      <c r="F95" s="282"/>
      <c r="G95" s="194"/>
      <c r="H95" s="194"/>
      <c r="I95" s="194"/>
      <c r="J95" s="194"/>
      <c r="K95" s="194"/>
      <c r="L95" s="184"/>
      <c r="M95" s="184"/>
      <c r="N95" s="286"/>
      <c r="O95" s="287"/>
      <c r="P95" s="256"/>
      <c r="Q95" s="256"/>
      <c r="R95" s="256"/>
      <c r="S95" s="256"/>
      <c r="T95" s="256"/>
      <c r="U95" s="256"/>
      <c r="V95" s="256"/>
      <c r="W95" s="256"/>
      <c r="X95" s="256"/>
      <c r="Y95" s="256"/>
      <c r="Z95" s="256"/>
      <c r="AA95" s="256"/>
      <c r="AB95" s="256"/>
      <c r="AC95" s="256"/>
      <c r="AD95" s="256"/>
      <c r="AE95" s="256"/>
      <c r="AF95" s="184"/>
      <c r="AG95" s="184"/>
      <c r="AH95" s="184"/>
      <c r="AI95" s="184"/>
      <c r="AJ95" s="199"/>
      <c r="AK95" s="194"/>
      <c r="AL95" s="184"/>
      <c r="AM95" s="184"/>
      <c r="AN95" s="184"/>
      <c r="AO95" s="184"/>
      <c r="AP95" s="184"/>
      <c r="AQ95" s="184"/>
      <c r="AR95" s="185"/>
    </row>
    <row r="96" spans="1:45" ht="15.75" customHeight="1" thickTop="1" x14ac:dyDescent="0.3">
      <c r="A96" s="21"/>
      <c r="B96" s="252"/>
      <c r="C96" s="72"/>
      <c r="D96" s="72"/>
      <c r="E96" s="72"/>
      <c r="F96" s="72"/>
      <c r="G96" s="72"/>
      <c r="H96" s="72"/>
      <c r="I96" s="72"/>
      <c r="J96" s="72"/>
      <c r="K96" s="72"/>
      <c r="L96" s="176"/>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row>
    <row r="97" spans="1:45" x14ac:dyDescent="0.3">
      <c r="A97" s="21"/>
      <c r="B97" s="25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row>
    <row r="98" spans="1:45" x14ac:dyDescent="0.3">
      <c r="A98" s="21"/>
      <c r="B98" s="25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146"/>
      <c r="AL98" s="146"/>
      <c r="AM98" s="146"/>
      <c r="AN98" s="146"/>
      <c r="AO98" s="146"/>
      <c r="AP98" s="72"/>
      <c r="AQ98" s="72"/>
      <c r="AR98" s="72"/>
      <c r="AS98" s="72"/>
    </row>
    <row r="99" spans="1:45" x14ac:dyDescent="0.3">
      <c r="A99" s="114"/>
      <c r="B99" s="252"/>
      <c r="L99" s="72"/>
    </row>
    <row r="100" spans="1:45" ht="90" customHeight="1" x14ac:dyDescent="0.3">
      <c r="B100" s="252"/>
      <c r="C100" s="21"/>
      <c r="D100" s="21"/>
      <c r="E100" s="21"/>
      <c r="F100" s="21"/>
      <c r="G100" s="21"/>
    </row>
    <row r="101" spans="1:45" x14ac:dyDescent="0.3">
      <c r="B101" s="252"/>
    </row>
    <row r="102" spans="1:45" x14ac:dyDescent="0.3">
      <c r="B102" s="252"/>
    </row>
  </sheetData>
  <mergeCells count="75">
    <mergeCell ref="AQ93:AQ94"/>
    <mergeCell ref="W18:AP19"/>
    <mergeCell ref="V3:AP3"/>
    <mergeCell ref="AJ88:AR89"/>
    <mergeCell ref="AJ86:AR87"/>
    <mergeCell ref="V25:AP25"/>
    <mergeCell ref="AO27:AP27"/>
    <mergeCell ref="AM28:AN28"/>
    <mergeCell ref="AM93:AN94"/>
    <mergeCell ref="AO93:AO94"/>
    <mergeCell ref="AP93:AP94"/>
    <mergeCell ref="AD27:AE27"/>
    <mergeCell ref="AF27:AG27"/>
    <mergeCell ref="AH27:AI27"/>
    <mergeCell ref="AJ27:AK27"/>
    <mergeCell ref="AM27:AN27"/>
    <mergeCell ref="AM35:AN35"/>
    <mergeCell ref="AM36:AN36"/>
    <mergeCell ref="AM37:AN37"/>
    <mergeCell ref="AM29:AN29"/>
    <mergeCell ref="AM30:AN30"/>
    <mergeCell ref="AM31:AN31"/>
    <mergeCell ref="AM32:AN32"/>
    <mergeCell ref="AM33:AN33"/>
    <mergeCell ref="AM34:AN34"/>
    <mergeCell ref="AO34:AP34"/>
    <mergeCell ref="AO35:AP35"/>
    <mergeCell ref="AO36:AP36"/>
    <mergeCell ref="AO37:AP37"/>
    <mergeCell ref="AO28:AP28"/>
    <mergeCell ref="AO29:AP29"/>
    <mergeCell ref="AO30:AP30"/>
    <mergeCell ref="AO31:AP31"/>
    <mergeCell ref="AO32:AP32"/>
    <mergeCell ref="AO33:AP33"/>
    <mergeCell ref="AH33:AI33"/>
    <mergeCell ref="AJ28:AK28"/>
    <mergeCell ref="AJ29:AK29"/>
    <mergeCell ref="AJ30:AK30"/>
    <mergeCell ref="AJ31:AK31"/>
    <mergeCell ref="AJ32:AK32"/>
    <mergeCell ref="AJ33:AK33"/>
    <mergeCell ref="AH28:AI28"/>
    <mergeCell ref="AH29:AI29"/>
    <mergeCell ref="AH30:AI30"/>
    <mergeCell ref="AH31:AI31"/>
    <mergeCell ref="AH32:AI32"/>
    <mergeCell ref="AH34:AI34"/>
    <mergeCell ref="AH35:AI35"/>
    <mergeCell ref="AH36:AI36"/>
    <mergeCell ref="AH37:AI37"/>
    <mergeCell ref="AJ36:AK36"/>
    <mergeCell ref="AJ37:AK37"/>
    <mergeCell ref="AJ34:AK34"/>
    <mergeCell ref="AJ35:AK35"/>
    <mergeCell ref="AF36:AG36"/>
    <mergeCell ref="AF37:AG37"/>
    <mergeCell ref="AF28:AG28"/>
    <mergeCell ref="AF29:AG29"/>
    <mergeCell ref="AF30:AG30"/>
    <mergeCell ref="AF31:AG31"/>
    <mergeCell ref="AF32:AG32"/>
    <mergeCell ref="AF33:AG33"/>
    <mergeCell ref="AF34:AG34"/>
    <mergeCell ref="AF35:AG35"/>
    <mergeCell ref="AD35:AE35"/>
    <mergeCell ref="AD36:AE36"/>
    <mergeCell ref="AD37:AE37"/>
    <mergeCell ref="AD28:AE28"/>
    <mergeCell ref="AD29:AE29"/>
    <mergeCell ref="AD30:AE30"/>
    <mergeCell ref="AD31:AE31"/>
    <mergeCell ref="AD32:AE32"/>
    <mergeCell ref="AD33:AE33"/>
    <mergeCell ref="AD34:AE34"/>
  </mergeCells>
  <dataValidations count="1">
    <dataValidation type="list" allowBlank="1" showInputMessage="1" showErrorMessage="1" sqref="BF38:BF40" xr:uid="{00000000-0002-0000-0100-000000000000}">
      <formula1>IF($K$19="WATER MAIN",WATER_MAIN_MATERIALS, IF($K$19="GRAVITY SANITARY SEWER MAIN",GRAVITY_SANITARY_SEWER_MAIN_MATERIALS, IF($K$19="LOW PRESSURE FORCE MAIN",LOW_PRESSURE_FORCE_MAIN_MATERIALS, IF($K$19="PUMP STATION FORCE MAIN",PUMP_STATION_FM_MAT))))</formula1>
    </dataValidation>
  </dataValidations>
  <pageMargins left="0.7" right="0.7" top="0.75" bottom="0.75" header="0.3" footer="0.3"/>
  <pageSetup paperSize="205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481" r:id="rId4" name="Check Box 193">
              <controlPr defaultSize="0" autoFill="0" autoLine="0" autoPict="0">
                <anchor moveWithCells="1">
                  <from>
                    <xdr:col>21</xdr:col>
                    <xdr:colOff>198120</xdr:colOff>
                    <xdr:row>26</xdr:row>
                    <xdr:rowOff>784860</xdr:rowOff>
                  </from>
                  <to>
                    <xdr:col>21</xdr:col>
                    <xdr:colOff>601980</xdr:colOff>
                    <xdr:row>28</xdr:row>
                    <xdr:rowOff>45720</xdr:rowOff>
                  </to>
                </anchor>
              </controlPr>
            </control>
          </mc:Choice>
        </mc:AlternateContent>
        <mc:AlternateContent xmlns:mc="http://schemas.openxmlformats.org/markup-compatibility/2006">
          <mc:Choice Requires="x14">
            <control shapeId="12482" r:id="rId5" name="Check Box 194">
              <controlPr defaultSize="0" autoFill="0" autoLine="0" autoPict="0">
                <anchor moveWithCells="1">
                  <from>
                    <xdr:col>21</xdr:col>
                    <xdr:colOff>198120</xdr:colOff>
                    <xdr:row>27</xdr:row>
                    <xdr:rowOff>784860</xdr:rowOff>
                  </from>
                  <to>
                    <xdr:col>21</xdr:col>
                    <xdr:colOff>601980</xdr:colOff>
                    <xdr:row>29</xdr:row>
                    <xdr:rowOff>83820</xdr:rowOff>
                  </to>
                </anchor>
              </controlPr>
            </control>
          </mc:Choice>
        </mc:AlternateContent>
        <mc:AlternateContent xmlns:mc="http://schemas.openxmlformats.org/markup-compatibility/2006">
          <mc:Choice Requires="x14">
            <control shapeId="12483" r:id="rId6" name="Check Box 195">
              <controlPr defaultSize="0" autoFill="0" autoLine="0" autoPict="0">
                <anchor moveWithCells="1">
                  <from>
                    <xdr:col>21</xdr:col>
                    <xdr:colOff>198120</xdr:colOff>
                    <xdr:row>28</xdr:row>
                    <xdr:rowOff>784860</xdr:rowOff>
                  </from>
                  <to>
                    <xdr:col>21</xdr:col>
                    <xdr:colOff>601980</xdr:colOff>
                    <xdr:row>30</xdr:row>
                    <xdr:rowOff>83820</xdr:rowOff>
                  </to>
                </anchor>
              </controlPr>
            </control>
          </mc:Choice>
        </mc:AlternateContent>
        <mc:AlternateContent xmlns:mc="http://schemas.openxmlformats.org/markup-compatibility/2006">
          <mc:Choice Requires="x14">
            <control shapeId="12484" r:id="rId7" name="Check Box 196">
              <controlPr defaultSize="0" autoFill="0" autoLine="0" autoPict="0">
                <anchor moveWithCells="1">
                  <from>
                    <xdr:col>21</xdr:col>
                    <xdr:colOff>198120</xdr:colOff>
                    <xdr:row>29</xdr:row>
                    <xdr:rowOff>784860</xdr:rowOff>
                  </from>
                  <to>
                    <xdr:col>21</xdr:col>
                    <xdr:colOff>601980</xdr:colOff>
                    <xdr:row>31</xdr:row>
                    <xdr:rowOff>83820</xdr:rowOff>
                  </to>
                </anchor>
              </controlPr>
            </control>
          </mc:Choice>
        </mc:AlternateContent>
        <mc:AlternateContent xmlns:mc="http://schemas.openxmlformats.org/markup-compatibility/2006">
          <mc:Choice Requires="x14">
            <control shapeId="12485" r:id="rId8" name="Check Box 197">
              <controlPr defaultSize="0" autoFill="0" autoLine="0" autoPict="0">
                <anchor moveWithCells="1">
                  <from>
                    <xdr:col>21</xdr:col>
                    <xdr:colOff>198120</xdr:colOff>
                    <xdr:row>30</xdr:row>
                    <xdr:rowOff>784860</xdr:rowOff>
                  </from>
                  <to>
                    <xdr:col>21</xdr:col>
                    <xdr:colOff>601980</xdr:colOff>
                    <xdr:row>32</xdr:row>
                    <xdr:rowOff>83820</xdr:rowOff>
                  </to>
                </anchor>
              </controlPr>
            </control>
          </mc:Choice>
        </mc:AlternateContent>
        <mc:AlternateContent xmlns:mc="http://schemas.openxmlformats.org/markup-compatibility/2006">
          <mc:Choice Requires="x14">
            <control shapeId="12486" r:id="rId9" name="Check Box 198">
              <controlPr defaultSize="0" autoFill="0" autoLine="0" autoPict="0">
                <anchor moveWithCells="1">
                  <from>
                    <xdr:col>21</xdr:col>
                    <xdr:colOff>198120</xdr:colOff>
                    <xdr:row>31</xdr:row>
                    <xdr:rowOff>784860</xdr:rowOff>
                  </from>
                  <to>
                    <xdr:col>21</xdr:col>
                    <xdr:colOff>601980</xdr:colOff>
                    <xdr:row>33</xdr:row>
                    <xdr:rowOff>83820</xdr:rowOff>
                  </to>
                </anchor>
              </controlPr>
            </control>
          </mc:Choice>
        </mc:AlternateContent>
        <mc:AlternateContent xmlns:mc="http://schemas.openxmlformats.org/markup-compatibility/2006">
          <mc:Choice Requires="x14">
            <control shapeId="12487" r:id="rId10" name="Check Box 199">
              <controlPr defaultSize="0" autoFill="0" autoLine="0" autoPict="0">
                <anchor moveWithCells="1">
                  <from>
                    <xdr:col>21</xdr:col>
                    <xdr:colOff>198120</xdr:colOff>
                    <xdr:row>32</xdr:row>
                    <xdr:rowOff>784860</xdr:rowOff>
                  </from>
                  <to>
                    <xdr:col>21</xdr:col>
                    <xdr:colOff>601980</xdr:colOff>
                    <xdr:row>34</xdr:row>
                    <xdr:rowOff>83820</xdr:rowOff>
                  </to>
                </anchor>
              </controlPr>
            </control>
          </mc:Choice>
        </mc:AlternateContent>
        <mc:AlternateContent xmlns:mc="http://schemas.openxmlformats.org/markup-compatibility/2006">
          <mc:Choice Requires="x14">
            <control shapeId="12488" r:id="rId11" name="Check Box 200">
              <controlPr defaultSize="0" autoFill="0" autoLine="0" autoPict="0">
                <anchor moveWithCells="1">
                  <from>
                    <xdr:col>21</xdr:col>
                    <xdr:colOff>198120</xdr:colOff>
                    <xdr:row>33</xdr:row>
                    <xdr:rowOff>784860</xdr:rowOff>
                  </from>
                  <to>
                    <xdr:col>21</xdr:col>
                    <xdr:colOff>601980</xdr:colOff>
                    <xdr:row>35</xdr:row>
                    <xdr:rowOff>68580</xdr:rowOff>
                  </to>
                </anchor>
              </controlPr>
            </control>
          </mc:Choice>
        </mc:AlternateContent>
        <mc:AlternateContent xmlns:mc="http://schemas.openxmlformats.org/markup-compatibility/2006">
          <mc:Choice Requires="x14">
            <control shapeId="12489" r:id="rId12" name="Check Box 201">
              <controlPr defaultSize="0" autoFill="0" autoLine="0" autoPict="0">
                <anchor moveWithCells="1">
                  <from>
                    <xdr:col>21</xdr:col>
                    <xdr:colOff>198120</xdr:colOff>
                    <xdr:row>34</xdr:row>
                    <xdr:rowOff>784860</xdr:rowOff>
                  </from>
                  <to>
                    <xdr:col>21</xdr:col>
                    <xdr:colOff>601980</xdr:colOff>
                    <xdr:row>36</xdr:row>
                    <xdr:rowOff>83820</xdr:rowOff>
                  </to>
                </anchor>
              </controlPr>
            </control>
          </mc:Choice>
        </mc:AlternateContent>
        <mc:AlternateContent xmlns:mc="http://schemas.openxmlformats.org/markup-compatibility/2006">
          <mc:Choice Requires="x14">
            <control shapeId="12490" r:id="rId13" name="Check Box 202">
              <controlPr defaultSize="0" autoFill="0" autoLine="0" autoPict="0">
                <anchor moveWithCells="1">
                  <from>
                    <xdr:col>21</xdr:col>
                    <xdr:colOff>198120</xdr:colOff>
                    <xdr:row>35</xdr:row>
                    <xdr:rowOff>784860</xdr:rowOff>
                  </from>
                  <to>
                    <xdr:col>21</xdr:col>
                    <xdr:colOff>601980</xdr:colOff>
                    <xdr:row>37</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BC79"/>
  <sheetViews>
    <sheetView topLeftCell="S46" zoomScale="77" zoomScaleNormal="77" workbookViewId="0">
      <selection activeCell="AO57" sqref="AO57"/>
    </sheetView>
  </sheetViews>
  <sheetFormatPr defaultRowHeight="14.4" x14ac:dyDescent="0.3"/>
  <cols>
    <col min="2" max="2" width="11.5546875" customWidth="1"/>
    <col min="3" max="3" width="26.5546875" customWidth="1"/>
    <col min="4" max="4" width="17.5546875" customWidth="1"/>
    <col min="6" max="6" width="10.5546875" bestFit="1" customWidth="1"/>
    <col min="7" max="7" width="13.33203125" bestFit="1" customWidth="1"/>
    <col min="10" max="10" width="13.6640625" style="1" customWidth="1"/>
    <col min="11" max="11" width="17.5546875" customWidth="1"/>
    <col min="12" max="12" width="13.109375" customWidth="1"/>
    <col min="13" max="13" width="11.5546875" bestFit="1" customWidth="1"/>
    <col min="14" max="14" width="11.5546875" customWidth="1"/>
    <col min="17" max="17" width="10.109375" customWidth="1"/>
    <col min="18" max="18" width="26.6640625" customWidth="1"/>
    <col min="19" max="19" width="15.109375" customWidth="1"/>
    <col min="20" max="20" width="12.109375" customWidth="1"/>
    <col min="21" max="21" width="11.109375" customWidth="1"/>
    <col min="22" max="22" width="11.5546875" customWidth="1"/>
    <col min="23" max="23" width="19.33203125" customWidth="1"/>
    <col min="24" max="24" width="26.6640625" customWidth="1"/>
    <col min="25" max="25" width="9.109375" style="343" customWidth="1"/>
    <col min="30" max="30" width="10" bestFit="1" customWidth="1"/>
    <col min="32" max="32" width="16.5546875" customWidth="1"/>
    <col min="33" max="33" width="11.88671875" customWidth="1"/>
    <col min="37" max="37" width="12" style="378" customWidth="1"/>
    <col min="38" max="38" width="15.6640625" customWidth="1"/>
    <col min="39" max="39" width="13.5546875" customWidth="1"/>
    <col min="40" max="40" width="15.33203125" customWidth="1"/>
    <col min="41" max="41" width="14.44140625" customWidth="1"/>
    <col min="44" max="44" width="11.109375" customWidth="1"/>
    <col min="45" max="45" width="14.44140625" customWidth="1"/>
    <col min="46" max="46" width="12.88671875" customWidth="1"/>
    <col min="47" max="47" width="13.33203125" customWidth="1"/>
    <col min="48" max="48" width="13.109375" customWidth="1"/>
    <col min="51" max="51" width="11.44140625" customWidth="1"/>
    <col min="52" max="52" width="12.6640625" bestFit="1" customWidth="1"/>
    <col min="53" max="53" width="12" customWidth="1"/>
    <col min="54" max="54" width="12.33203125" customWidth="1"/>
    <col min="55" max="55" width="11.88671875" customWidth="1"/>
  </cols>
  <sheetData>
    <row r="6" spans="2:39" s="35" customFormat="1" ht="31.2" x14ac:dyDescent="0.6">
      <c r="B6" s="35" t="s">
        <v>186</v>
      </c>
      <c r="D6" s="46"/>
      <c r="J6" s="36"/>
      <c r="K6" s="46"/>
      <c r="Y6" s="345"/>
      <c r="AK6" s="376"/>
    </row>
    <row r="7" spans="2:39" s="44" customFormat="1" ht="18" customHeight="1" x14ac:dyDescent="0.3">
      <c r="B7" s="41">
        <v>1</v>
      </c>
      <c r="C7" s="43" t="s">
        <v>185</v>
      </c>
      <c r="Y7" s="41"/>
      <c r="AK7" s="377"/>
    </row>
    <row r="8" spans="2:39" s="44" customFormat="1" x14ac:dyDescent="0.3">
      <c r="B8" s="41">
        <v>2</v>
      </c>
      <c r="C8" s="45" t="s">
        <v>184</v>
      </c>
      <c r="Y8" s="41"/>
      <c r="AK8" s="377"/>
    </row>
    <row r="9" spans="2:39" s="44" customFormat="1" x14ac:dyDescent="0.3">
      <c r="B9" s="41">
        <v>3</v>
      </c>
      <c r="C9" s="45" t="s">
        <v>183</v>
      </c>
      <c r="Y9" s="41"/>
      <c r="AK9" s="377"/>
    </row>
    <row r="10" spans="2:39" s="44" customFormat="1" x14ac:dyDescent="0.3">
      <c r="B10" s="41">
        <v>4</v>
      </c>
      <c r="C10" s="45" t="s">
        <v>182</v>
      </c>
      <c r="Y10" s="41"/>
      <c r="AK10" s="377"/>
    </row>
    <row r="11" spans="2:39" s="35" customFormat="1" ht="19.5" customHeight="1" x14ac:dyDescent="0.3">
      <c r="B11" s="41">
        <v>5</v>
      </c>
      <c r="C11" s="43" t="s">
        <v>181</v>
      </c>
      <c r="D11" s="37"/>
      <c r="E11" s="39"/>
      <c r="F11" s="37"/>
      <c r="G11" s="37"/>
      <c r="H11" s="37"/>
      <c r="I11" s="37"/>
      <c r="J11" s="38"/>
      <c r="K11" s="37"/>
      <c r="L11" s="37"/>
      <c r="M11" s="37"/>
      <c r="N11" s="37"/>
      <c r="Y11" s="345"/>
      <c r="AK11" s="376"/>
    </row>
    <row r="12" spans="2:39" s="35" customFormat="1" ht="13.5" customHeight="1" x14ac:dyDescent="0.3">
      <c r="B12" s="41">
        <v>6</v>
      </c>
      <c r="C12" s="35" t="s">
        <v>180</v>
      </c>
      <c r="D12" s="37"/>
      <c r="E12" s="39"/>
      <c r="F12" s="37"/>
      <c r="G12" s="37"/>
      <c r="H12" s="37"/>
      <c r="I12" s="37"/>
      <c r="J12" s="38"/>
      <c r="K12" s="37"/>
      <c r="L12" s="37"/>
      <c r="M12" s="37"/>
      <c r="N12" s="37"/>
      <c r="Y12" s="345"/>
      <c r="AK12" s="376"/>
    </row>
    <row r="13" spans="2:39" s="35" customFormat="1" ht="18.75" customHeight="1" x14ac:dyDescent="0.3">
      <c r="B13" s="41">
        <v>7</v>
      </c>
      <c r="C13" s="40" t="s">
        <v>179</v>
      </c>
      <c r="D13" s="37"/>
      <c r="E13" s="39"/>
      <c r="F13" s="37"/>
      <c r="G13" s="37"/>
      <c r="H13" s="37"/>
      <c r="I13" s="37"/>
      <c r="J13" s="38"/>
      <c r="K13" s="37"/>
      <c r="L13" s="37"/>
      <c r="M13" s="37"/>
      <c r="N13" s="37"/>
      <c r="Y13" s="345"/>
      <c r="AK13" s="376"/>
      <c r="AM13" s="42"/>
    </row>
    <row r="14" spans="2:39" s="35" customFormat="1" ht="18" customHeight="1" x14ac:dyDescent="0.3">
      <c r="B14" s="41">
        <v>8</v>
      </c>
      <c r="C14" s="40" t="s">
        <v>178</v>
      </c>
      <c r="D14" s="37"/>
      <c r="E14" s="39"/>
      <c r="F14" s="37"/>
      <c r="G14" s="37"/>
      <c r="H14" s="37"/>
      <c r="I14" s="37"/>
      <c r="J14" s="38"/>
      <c r="K14" s="37"/>
      <c r="L14" s="37"/>
      <c r="M14" s="37"/>
      <c r="N14" s="37"/>
      <c r="Y14" s="345"/>
      <c r="AK14" s="376"/>
    </row>
    <row r="15" spans="2:39" s="35" customFormat="1" ht="18" customHeight="1" x14ac:dyDescent="0.3">
      <c r="B15" s="37"/>
      <c r="C15" s="40" t="s">
        <v>177</v>
      </c>
      <c r="D15" s="37"/>
      <c r="E15" s="39"/>
      <c r="F15" s="37"/>
      <c r="G15" s="37"/>
      <c r="H15" s="37"/>
      <c r="I15" s="37"/>
      <c r="J15" s="38"/>
      <c r="K15" s="37"/>
      <c r="L15" s="37"/>
      <c r="M15" s="37"/>
      <c r="N15" s="37"/>
      <c r="Y15" s="345"/>
      <c r="AK15" s="376"/>
    </row>
    <row r="16" spans="2:39" s="35" customFormat="1" x14ac:dyDescent="0.3">
      <c r="J16" s="36"/>
      <c r="Y16" s="345"/>
      <c r="AK16" s="376"/>
    </row>
    <row r="18" spans="2:37" x14ac:dyDescent="0.3">
      <c r="B18" s="34" t="s">
        <v>176</v>
      </c>
    </row>
    <row r="20" spans="2:37" s="20" customFormat="1" ht="18" customHeight="1" x14ac:dyDescent="0.3">
      <c r="AK20" s="379"/>
    </row>
    <row r="21" spans="2:37" ht="30" customHeight="1" x14ac:dyDescent="0.3">
      <c r="R21" t="s">
        <v>168</v>
      </c>
    </row>
    <row r="22" spans="2:37" ht="29.25" customHeight="1" x14ac:dyDescent="0.3"/>
    <row r="23" spans="2:37" ht="28.5" customHeight="1" x14ac:dyDescent="0.3"/>
    <row r="24" spans="2:37" ht="28.5" customHeight="1" x14ac:dyDescent="0.3"/>
    <row r="25" spans="2:37" ht="30.75" customHeight="1" x14ac:dyDescent="0.3"/>
    <row r="36" spans="17:39" x14ac:dyDescent="0.3">
      <c r="AD36" t="s">
        <v>167</v>
      </c>
      <c r="AF36" t="s">
        <v>312</v>
      </c>
      <c r="AK36" s="378" t="s">
        <v>133</v>
      </c>
      <c r="AM36" t="s">
        <v>132</v>
      </c>
    </row>
    <row r="37" spans="17:39" x14ac:dyDescent="0.3">
      <c r="Q37" t="s">
        <v>135</v>
      </c>
      <c r="Z37" t="s">
        <v>67</v>
      </c>
      <c r="AD37" t="s">
        <v>138</v>
      </c>
      <c r="AF37" t="s">
        <v>138</v>
      </c>
      <c r="AK37" s="378" t="s">
        <v>127</v>
      </c>
      <c r="AM37" t="s">
        <v>166</v>
      </c>
    </row>
    <row r="38" spans="17:39" x14ac:dyDescent="0.3">
      <c r="Q38" t="s">
        <v>133</v>
      </c>
      <c r="Z38" t="s">
        <v>359</v>
      </c>
      <c r="AD38" t="s">
        <v>137</v>
      </c>
      <c r="AF38" t="s">
        <v>137</v>
      </c>
    </row>
    <row r="39" spans="17:39" x14ac:dyDescent="0.3">
      <c r="Q39" t="s">
        <v>127</v>
      </c>
      <c r="Z39" t="s">
        <v>359</v>
      </c>
      <c r="AD39" t="s">
        <v>136</v>
      </c>
      <c r="AF39" t="s">
        <v>128</v>
      </c>
    </row>
    <row r="40" spans="17:39" x14ac:dyDescent="0.3">
      <c r="AF40" t="s">
        <v>136</v>
      </c>
    </row>
    <row r="51" spans="10:55" x14ac:dyDescent="0.3">
      <c r="Q51" s="569" t="s">
        <v>165</v>
      </c>
      <c r="R51" s="569"/>
      <c r="S51" s="569"/>
      <c r="T51" s="569"/>
      <c r="U51" s="569"/>
      <c r="V51" s="569"/>
      <c r="W51" s="569"/>
      <c r="X51" s="569"/>
      <c r="Y51" s="569"/>
      <c r="Z51" s="569"/>
      <c r="AA51" s="569"/>
      <c r="AB51" s="569"/>
      <c r="AC51" s="569"/>
      <c r="AD51" s="569"/>
      <c r="AE51" s="569"/>
      <c r="AF51" s="569"/>
      <c r="AG51" s="569"/>
      <c r="AH51" s="569"/>
      <c r="AI51" s="367"/>
      <c r="AJ51" s="367"/>
      <c r="AK51" s="568">
        <v>2023</v>
      </c>
      <c r="AL51" s="568"/>
      <c r="AM51" s="568"/>
      <c r="AN51" s="568"/>
      <c r="AO51" s="568"/>
      <c r="AR51" s="570">
        <v>2024</v>
      </c>
      <c r="AS51" s="570"/>
      <c r="AT51" s="570"/>
      <c r="AU51" s="570"/>
      <c r="AV51" s="570"/>
      <c r="AY51" s="571">
        <v>2025</v>
      </c>
      <c r="AZ51" s="571"/>
      <c r="BA51" s="571"/>
      <c r="BB51" s="571"/>
      <c r="BC51" s="571"/>
    </row>
    <row r="52" spans="10:55" ht="57.6" x14ac:dyDescent="0.3">
      <c r="Q52" s="33" t="s">
        <v>164</v>
      </c>
      <c r="R52" s="33" t="s">
        <v>163</v>
      </c>
      <c r="S52" s="33" t="s">
        <v>162</v>
      </c>
      <c r="T52" s="33" t="s">
        <v>161</v>
      </c>
      <c r="U52" s="33" t="s">
        <v>160</v>
      </c>
      <c r="V52" s="33" t="s">
        <v>159</v>
      </c>
      <c r="W52" s="33" t="s">
        <v>158</v>
      </c>
      <c r="X52" s="33" t="s">
        <v>157</v>
      </c>
      <c r="Y52" s="20" t="s">
        <v>154</v>
      </c>
      <c r="Z52" s="349" t="s">
        <v>429</v>
      </c>
      <c r="AA52" s="19" t="s">
        <v>155</v>
      </c>
      <c r="AB52" s="32" t="s">
        <v>430</v>
      </c>
      <c r="AC52" s="20" t="s">
        <v>153</v>
      </c>
      <c r="AD52" s="31" t="s">
        <v>152</v>
      </c>
      <c r="AE52" s="20" t="s">
        <v>151</v>
      </c>
      <c r="AF52" s="20" t="s">
        <v>150</v>
      </c>
      <c r="AG52" s="19" t="s">
        <v>149</v>
      </c>
      <c r="AH52" s="20" t="s">
        <v>148</v>
      </c>
      <c r="AI52" s="20" t="s">
        <v>439</v>
      </c>
      <c r="AJ52" s="20" t="s">
        <v>440</v>
      </c>
      <c r="AK52" s="379" t="s">
        <v>432</v>
      </c>
      <c r="AL52" s="19" t="s">
        <v>138</v>
      </c>
      <c r="AM52" s="20" t="s">
        <v>137</v>
      </c>
      <c r="AN52" s="20" t="s">
        <v>128</v>
      </c>
      <c r="AO52" s="3" t="s">
        <v>136</v>
      </c>
      <c r="AR52" s="20" t="s">
        <v>147</v>
      </c>
      <c r="AS52" s="19" t="s">
        <v>138</v>
      </c>
      <c r="AT52" s="20" t="s">
        <v>137</v>
      </c>
      <c r="AU52" s="20" t="s">
        <v>128</v>
      </c>
      <c r="AV52" s="3" t="s">
        <v>136</v>
      </c>
      <c r="AY52" s="20" t="s">
        <v>147</v>
      </c>
      <c r="AZ52" s="19" t="s">
        <v>138</v>
      </c>
      <c r="BA52" s="20" t="s">
        <v>137</v>
      </c>
      <c r="BB52" s="20" t="s">
        <v>128</v>
      </c>
      <c r="BC52" s="3" t="s">
        <v>136</v>
      </c>
    </row>
    <row r="53" spans="10:55" x14ac:dyDescent="0.3">
      <c r="Q53" s="29"/>
      <c r="R53" s="29"/>
      <c r="S53" s="29"/>
      <c r="T53" s="29"/>
      <c r="U53" s="29"/>
      <c r="V53" s="29"/>
      <c r="W53" s="29"/>
      <c r="X53" s="29"/>
      <c r="Y53" s="343" t="s">
        <v>146</v>
      </c>
      <c r="Z53" s="1" t="s">
        <v>146</v>
      </c>
      <c r="AA53" s="27" t="s">
        <v>146</v>
      </c>
      <c r="AB53" s="28" t="s">
        <v>146</v>
      </c>
      <c r="AC53" s="27" t="s">
        <v>146</v>
      </c>
      <c r="AD53" s="27" t="s">
        <v>146</v>
      </c>
      <c r="AE53" s="1" t="s">
        <v>146</v>
      </c>
      <c r="AF53" s="7" t="s">
        <v>145</v>
      </c>
      <c r="AI53" t="s">
        <v>442</v>
      </c>
      <c r="AJ53" s="1" t="s">
        <v>441</v>
      </c>
      <c r="AK53" s="378" t="s">
        <v>144</v>
      </c>
      <c r="AM53" t="s">
        <v>144</v>
      </c>
      <c r="AN53" t="s">
        <v>144</v>
      </c>
      <c r="AR53" t="s">
        <v>144</v>
      </c>
      <c r="AT53" t="s">
        <v>144</v>
      </c>
      <c r="AU53" t="s">
        <v>144</v>
      </c>
      <c r="AY53" t="s">
        <v>144</v>
      </c>
      <c r="BA53" t="s">
        <v>144</v>
      </c>
      <c r="BB53" t="s">
        <v>144</v>
      </c>
    </row>
    <row r="54" spans="10:55" x14ac:dyDescent="0.3">
      <c r="Q54" s="29" t="s">
        <v>143</v>
      </c>
      <c r="R54" s="29" t="s">
        <v>140</v>
      </c>
      <c r="S54" s="29" t="s">
        <v>138</v>
      </c>
      <c r="T54" s="29" t="s">
        <v>137</v>
      </c>
      <c r="U54" s="29" t="s">
        <v>128</v>
      </c>
      <c r="V54" s="29" t="s">
        <v>136</v>
      </c>
      <c r="W54" s="29" t="s">
        <v>135</v>
      </c>
      <c r="X54" s="29" t="s">
        <v>134</v>
      </c>
      <c r="Y54" s="344">
        <v>0.5</v>
      </c>
      <c r="Z54" s="1">
        <v>0</v>
      </c>
      <c r="AA54" s="30">
        <v>0.125</v>
      </c>
      <c r="AB54" s="28">
        <v>1</v>
      </c>
      <c r="AC54" s="30">
        <v>0</v>
      </c>
      <c r="AD54" s="30">
        <v>20</v>
      </c>
      <c r="AE54" s="30">
        <v>10</v>
      </c>
      <c r="AF54" s="26">
        <f>AE54*60*12*30</f>
        <v>216000</v>
      </c>
      <c r="AG54" s="25">
        <f t="shared" ref="AG54:AG67" si="0">AF54/10000</f>
        <v>21.6</v>
      </c>
      <c r="AH54" s="1">
        <v>1</v>
      </c>
      <c r="AI54" s="1" t="s">
        <v>442</v>
      </c>
      <c r="AJ54" s="1" t="s">
        <v>441</v>
      </c>
      <c r="AK54" s="380">
        <v>460</v>
      </c>
      <c r="AL54" s="347">
        <v>15900</v>
      </c>
      <c r="AM54" s="348">
        <v>4700</v>
      </c>
      <c r="AN54" s="348">
        <v>11200</v>
      </c>
      <c r="AO54" s="348">
        <f>1*AM54*0.1</f>
        <v>470</v>
      </c>
      <c r="AR54" s="380">
        <v>460</v>
      </c>
      <c r="AS54" s="347">
        <v>16500</v>
      </c>
      <c r="AT54" s="348">
        <v>4800</v>
      </c>
      <c r="AU54" s="348">
        <v>11700</v>
      </c>
      <c r="AV54" s="348">
        <f>1*AT54*0.1</f>
        <v>480</v>
      </c>
      <c r="AY54" s="380">
        <v>460</v>
      </c>
      <c r="AZ54" s="347">
        <v>17200</v>
      </c>
      <c r="BA54" s="348">
        <v>5000</v>
      </c>
      <c r="BB54" s="348">
        <v>12200</v>
      </c>
      <c r="BC54" s="348">
        <f>1*BA54*0.1</f>
        <v>500</v>
      </c>
    </row>
    <row r="55" spans="10:55" x14ac:dyDescent="0.3">
      <c r="Q55" s="29" t="s">
        <v>142</v>
      </c>
      <c r="R55" s="29" t="s">
        <v>140</v>
      </c>
      <c r="S55" s="29" t="s">
        <v>138</v>
      </c>
      <c r="T55" s="29" t="s">
        <v>137</v>
      </c>
      <c r="U55" s="29" t="s">
        <v>128</v>
      </c>
      <c r="V55" s="29" t="s">
        <v>136</v>
      </c>
      <c r="W55" s="29" t="s">
        <v>135</v>
      </c>
      <c r="X55" s="29" t="s">
        <v>134</v>
      </c>
      <c r="Y55" s="344">
        <v>1</v>
      </c>
      <c r="Z55" s="1">
        <v>20</v>
      </c>
      <c r="AA55" s="30">
        <v>0.375</v>
      </c>
      <c r="AB55" s="28">
        <v>3</v>
      </c>
      <c r="AC55" s="30">
        <v>20</v>
      </c>
      <c r="AD55" s="30">
        <v>50</v>
      </c>
      <c r="AE55" s="30">
        <v>25</v>
      </c>
      <c r="AF55" s="26">
        <f t="shared" ref="AF55:AF67" si="1">AE55*60*12*30</f>
        <v>540000</v>
      </c>
      <c r="AG55" s="25">
        <f t="shared" si="0"/>
        <v>54</v>
      </c>
      <c r="AH55" s="1">
        <v>4</v>
      </c>
      <c r="AI55" s="1" t="s">
        <v>442</v>
      </c>
      <c r="AJ55" s="1" t="s">
        <v>441</v>
      </c>
      <c r="AK55" s="380">
        <v>585</v>
      </c>
      <c r="AL55" s="347">
        <v>15900</v>
      </c>
      <c r="AM55" s="348">
        <v>4700</v>
      </c>
      <c r="AN55" s="348">
        <v>11200</v>
      </c>
      <c r="AO55" s="348">
        <f>4*AM55*0.1</f>
        <v>1880</v>
      </c>
      <c r="AR55" s="380">
        <v>585</v>
      </c>
      <c r="AS55" s="347">
        <v>16500</v>
      </c>
      <c r="AT55" s="348">
        <v>4800</v>
      </c>
      <c r="AU55" s="348">
        <v>11700</v>
      </c>
      <c r="AV55" s="348">
        <f>4*AT55*0.1</f>
        <v>1920</v>
      </c>
      <c r="AY55" s="380">
        <v>585</v>
      </c>
      <c r="AZ55" s="347">
        <v>17200</v>
      </c>
      <c r="BA55" s="348">
        <v>5000</v>
      </c>
      <c r="BB55" s="348">
        <v>12200</v>
      </c>
      <c r="BC55" s="348">
        <f>4*BA55*0.1</f>
        <v>2000</v>
      </c>
    </row>
    <row r="56" spans="10:55" x14ac:dyDescent="0.3">
      <c r="Q56" s="29" t="s">
        <v>141</v>
      </c>
      <c r="R56" s="29" t="s">
        <v>140</v>
      </c>
      <c r="S56" s="29" t="s">
        <v>138</v>
      </c>
      <c r="T56" s="29" t="s">
        <v>137</v>
      </c>
      <c r="U56" s="29" t="s">
        <v>128</v>
      </c>
      <c r="V56" s="29" t="s">
        <v>136</v>
      </c>
      <c r="W56" s="29" t="s">
        <v>135</v>
      </c>
      <c r="X56" s="29" t="s">
        <v>134</v>
      </c>
      <c r="Y56" s="344">
        <v>2</v>
      </c>
      <c r="Z56" s="1">
        <v>50</v>
      </c>
      <c r="AA56" s="30">
        <v>0.75</v>
      </c>
      <c r="AB56" s="28">
        <v>5</v>
      </c>
      <c r="AC56" s="30">
        <v>50</v>
      </c>
      <c r="AD56" s="30">
        <v>100</v>
      </c>
      <c r="AE56" s="30">
        <v>50</v>
      </c>
      <c r="AF56" s="26">
        <f t="shared" si="1"/>
        <v>1080000</v>
      </c>
      <c r="AG56" s="25">
        <f t="shared" si="0"/>
        <v>108</v>
      </c>
      <c r="AH56" s="1">
        <v>7</v>
      </c>
      <c r="AI56" s="1" t="s">
        <v>442</v>
      </c>
      <c r="AJ56" s="1" t="s">
        <v>441</v>
      </c>
      <c r="AK56" s="380">
        <v>960</v>
      </c>
      <c r="AL56" s="347">
        <v>15900</v>
      </c>
      <c r="AM56" s="348">
        <v>4700</v>
      </c>
      <c r="AN56" s="348">
        <v>11200</v>
      </c>
      <c r="AO56" s="348">
        <f>7*AM56*0.1</f>
        <v>3290</v>
      </c>
      <c r="AR56" s="380">
        <v>960</v>
      </c>
      <c r="AS56" s="347">
        <v>16500</v>
      </c>
      <c r="AT56" s="348">
        <v>4800</v>
      </c>
      <c r="AU56" s="348">
        <v>11700</v>
      </c>
      <c r="AV56" s="348">
        <f>7*AT56*0.1</f>
        <v>3360</v>
      </c>
      <c r="AY56" s="380">
        <v>960</v>
      </c>
      <c r="AZ56" s="347">
        <v>17200</v>
      </c>
      <c r="BA56" s="348">
        <v>5000</v>
      </c>
      <c r="BB56" s="348">
        <v>12200</v>
      </c>
      <c r="BC56" s="348">
        <f>7*BA56*0.1</f>
        <v>3500</v>
      </c>
    </row>
    <row r="57" spans="10:55" x14ac:dyDescent="0.3">
      <c r="Q57" s="29" t="s">
        <v>131</v>
      </c>
      <c r="R57" s="29" t="s">
        <v>139</v>
      </c>
      <c r="S57" s="29" t="s">
        <v>138</v>
      </c>
      <c r="T57" s="29" t="s">
        <v>137</v>
      </c>
      <c r="U57" s="29" t="s">
        <v>128</v>
      </c>
      <c r="V57" s="29" t="s">
        <v>136</v>
      </c>
      <c r="W57" s="29" t="s">
        <v>135</v>
      </c>
      <c r="X57" s="29" t="s">
        <v>134</v>
      </c>
      <c r="Y57" s="344">
        <v>2.5</v>
      </c>
      <c r="Z57" s="1">
        <v>100</v>
      </c>
      <c r="AA57" s="30">
        <v>1</v>
      </c>
      <c r="AB57" s="28">
        <v>8</v>
      </c>
      <c r="AC57" s="30">
        <v>100</v>
      </c>
      <c r="AD57" s="30">
        <v>160</v>
      </c>
      <c r="AE57" s="30">
        <v>80</v>
      </c>
      <c r="AF57" s="26">
        <f t="shared" si="1"/>
        <v>1728000</v>
      </c>
      <c r="AG57" s="25">
        <f t="shared" si="0"/>
        <v>172.8</v>
      </c>
      <c r="AH57" s="1" t="s">
        <v>126</v>
      </c>
      <c r="AI57" s="1" t="s">
        <v>442</v>
      </c>
      <c r="AJ57" s="1" t="s">
        <v>441</v>
      </c>
      <c r="AK57" s="380">
        <v>960</v>
      </c>
      <c r="AL57" s="347">
        <v>15900</v>
      </c>
      <c r="AM57" s="348">
        <v>4700</v>
      </c>
      <c r="AN57" s="348">
        <v>11200</v>
      </c>
      <c r="AO57" s="348">
        <f>12*AM57*0.1</f>
        <v>5640</v>
      </c>
      <c r="AR57" s="380">
        <v>960</v>
      </c>
      <c r="AS57" s="347">
        <v>16500</v>
      </c>
      <c r="AT57" s="348">
        <v>4800</v>
      </c>
      <c r="AU57" s="348">
        <v>11700</v>
      </c>
      <c r="AV57" s="348">
        <f>12*AT57*0.1</f>
        <v>5760</v>
      </c>
      <c r="AY57" s="380">
        <v>960</v>
      </c>
      <c r="AZ57" s="347">
        <v>17200</v>
      </c>
      <c r="BA57" s="348">
        <v>5000</v>
      </c>
      <c r="BB57" s="348">
        <v>12200</v>
      </c>
      <c r="BC57" s="348">
        <f>12*BA57*0.1</f>
        <v>6000</v>
      </c>
    </row>
    <row r="58" spans="10:55" ht="13.5" customHeight="1" x14ac:dyDescent="0.3">
      <c r="Q58" s="29" t="s">
        <v>130</v>
      </c>
      <c r="R58" s="29" t="s">
        <v>438</v>
      </c>
      <c r="S58" s="29" t="s">
        <v>138</v>
      </c>
      <c r="T58" s="29" t="s">
        <v>137</v>
      </c>
      <c r="U58" s="29" t="s">
        <v>128</v>
      </c>
      <c r="V58" s="29" t="s">
        <v>136</v>
      </c>
      <c r="W58" s="29" t="s">
        <v>135</v>
      </c>
      <c r="X58" s="29" t="s">
        <v>134</v>
      </c>
      <c r="Y58" s="343">
        <v>0.5</v>
      </c>
      <c r="Z58" s="1">
        <v>160</v>
      </c>
      <c r="AA58" s="1">
        <v>0.125</v>
      </c>
      <c r="AB58" s="28">
        <v>0.5</v>
      </c>
      <c r="AC58" s="1">
        <v>160</v>
      </c>
      <c r="AD58" s="27">
        <v>450</v>
      </c>
      <c r="AE58" s="1">
        <v>450</v>
      </c>
      <c r="AF58" s="26">
        <f t="shared" si="1"/>
        <v>9720000</v>
      </c>
      <c r="AG58" s="25">
        <f t="shared" si="0"/>
        <v>972</v>
      </c>
      <c r="AH58" s="1" t="s">
        <v>126</v>
      </c>
      <c r="AI58" s="1" t="s">
        <v>442</v>
      </c>
      <c r="AJ58" s="1" t="s">
        <v>441</v>
      </c>
      <c r="AK58" s="380">
        <v>3000</v>
      </c>
      <c r="AL58" s="347">
        <v>15900</v>
      </c>
      <c r="AM58" s="348">
        <v>4700</v>
      </c>
      <c r="AN58" s="348">
        <v>11200</v>
      </c>
      <c r="AO58" s="23" t="s">
        <v>314</v>
      </c>
      <c r="AR58" s="380">
        <v>3000</v>
      </c>
      <c r="AS58" s="347">
        <v>16500</v>
      </c>
      <c r="AT58" s="348">
        <v>4800</v>
      </c>
      <c r="AU58" s="348">
        <v>11700</v>
      </c>
      <c r="AV58" s="23" t="s">
        <v>314</v>
      </c>
      <c r="AY58" s="380">
        <v>3000</v>
      </c>
      <c r="AZ58" s="347">
        <v>17200</v>
      </c>
      <c r="BA58" s="348">
        <v>5000</v>
      </c>
      <c r="BB58" s="348">
        <v>12200</v>
      </c>
      <c r="BC58" s="23" t="s">
        <v>314</v>
      </c>
    </row>
    <row r="59" spans="10:55" x14ac:dyDescent="0.3">
      <c r="Q59" s="29" t="s">
        <v>129</v>
      </c>
      <c r="R59" s="29" t="s">
        <v>438</v>
      </c>
      <c r="S59" s="29" t="s">
        <v>138</v>
      </c>
      <c r="T59" s="29" t="s">
        <v>137</v>
      </c>
      <c r="U59" s="29" t="s">
        <v>128</v>
      </c>
      <c r="V59" s="29" t="s">
        <v>136</v>
      </c>
      <c r="W59" s="29" t="s">
        <v>135</v>
      </c>
      <c r="X59" s="29" t="s">
        <v>134</v>
      </c>
      <c r="Y59" s="343">
        <v>1</v>
      </c>
      <c r="Z59" s="1">
        <v>450</v>
      </c>
      <c r="AA59" s="1">
        <v>0.5</v>
      </c>
      <c r="AB59" s="28">
        <v>4</v>
      </c>
      <c r="AC59" s="1">
        <v>450</v>
      </c>
      <c r="AD59" s="27">
        <v>1000</v>
      </c>
      <c r="AE59" s="1">
        <v>1000</v>
      </c>
      <c r="AF59" s="26">
        <f t="shared" si="1"/>
        <v>21600000</v>
      </c>
      <c r="AG59" s="25">
        <f t="shared" si="0"/>
        <v>2160</v>
      </c>
      <c r="AH59" s="1" t="s">
        <v>126</v>
      </c>
      <c r="AI59" s="1" t="s">
        <v>442</v>
      </c>
      <c r="AJ59" s="1" t="s">
        <v>441</v>
      </c>
      <c r="AK59" s="380"/>
      <c r="AL59" s="347">
        <v>15900</v>
      </c>
      <c r="AM59" s="348">
        <v>4700</v>
      </c>
      <c r="AN59" s="348">
        <v>11200</v>
      </c>
      <c r="AO59" s="23" t="s">
        <v>314</v>
      </c>
      <c r="AR59" s="380"/>
      <c r="AS59" s="347">
        <v>16500</v>
      </c>
      <c r="AT59" s="348">
        <v>4800</v>
      </c>
      <c r="AU59" s="348">
        <v>11700</v>
      </c>
      <c r="AV59" s="23" t="s">
        <v>314</v>
      </c>
      <c r="AY59" s="380"/>
      <c r="AZ59" s="347">
        <v>17200</v>
      </c>
      <c r="BA59" s="348">
        <v>5000</v>
      </c>
      <c r="BB59" s="348">
        <v>12200</v>
      </c>
      <c r="BC59" s="23" t="s">
        <v>314</v>
      </c>
    </row>
    <row r="60" spans="10:55" x14ac:dyDescent="0.3">
      <c r="Q60" s="29" t="s">
        <v>435</v>
      </c>
      <c r="R60" s="29" t="s">
        <v>438</v>
      </c>
      <c r="S60" s="29" t="s">
        <v>138</v>
      </c>
      <c r="T60" s="29" t="s">
        <v>137</v>
      </c>
      <c r="U60" s="29" t="s">
        <v>128</v>
      </c>
      <c r="V60" s="29" t="s">
        <v>136</v>
      </c>
      <c r="W60" s="29" t="s">
        <v>135</v>
      </c>
      <c r="X60" s="29" t="s">
        <v>134</v>
      </c>
      <c r="Y60" s="343">
        <v>1.5</v>
      </c>
      <c r="Z60" s="1">
        <v>1000</v>
      </c>
      <c r="AA60" s="1">
        <v>0.75</v>
      </c>
      <c r="AB60" s="28">
        <v>6</v>
      </c>
      <c r="AC60" s="1">
        <v>1000</v>
      </c>
      <c r="AD60" s="27">
        <v>2000</v>
      </c>
      <c r="AE60" s="1">
        <v>2000</v>
      </c>
      <c r="AF60" s="26">
        <f t="shared" si="1"/>
        <v>43200000</v>
      </c>
      <c r="AG60" s="25">
        <f t="shared" si="0"/>
        <v>4320</v>
      </c>
      <c r="AH60" s="1" t="s">
        <v>126</v>
      </c>
      <c r="AI60" s="1" t="s">
        <v>442</v>
      </c>
      <c r="AJ60" s="1" t="s">
        <v>441</v>
      </c>
      <c r="AK60" s="380">
        <v>19600</v>
      </c>
      <c r="AL60" s="347">
        <v>15900</v>
      </c>
      <c r="AM60" s="348">
        <v>4700</v>
      </c>
      <c r="AN60" s="348">
        <v>11200</v>
      </c>
      <c r="AO60" s="23" t="s">
        <v>314</v>
      </c>
      <c r="AR60" s="380">
        <v>19600</v>
      </c>
      <c r="AS60" s="347">
        <v>16500</v>
      </c>
      <c r="AT60" s="348">
        <v>4800</v>
      </c>
      <c r="AU60" s="348">
        <v>11700</v>
      </c>
      <c r="AV60" s="23" t="s">
        <v>314</v>
      </c>
      <c r="AY60" s="380">
        <v>19600</v>
      </c>
      <c r="AZ60" s="347">
        <v>17200</v>
      </c>
      <c r="BA60" s="348">
        <v>5000</v>
      </c>
      <c r="BB60" s="348">
        <v>12200</v>
      </c>
      <c r="BC60" s="23" t="s">
        <v>314</v>
      </c>
    </row>
    <row r="61" spans="10:55" x14ac:dyDescent="0.3">
      <c r="Q61" s="29" t="s">
        <v>433</v>
      </c>
      <c r="R61" s="29" t="s">
        <v>437</v>
      </c>
      <c r="S61" s="29" t="s">
        <v>138</v>
      </c>
      <c r="T61" s="29" t="s">
        <v>137</v>
      </c>
      <c r="U61" s="29" t="s">
        <v>128</v>
      </c>
      <c r="V61" s="29" t="s">
        <v>136</v>
      </c>
      <c r="W61" s="29" t="s">
        <v>135</v>
      </c>
      <c r="X61" s="29" t="s">
        <v>134</v>
      </c>
      <c r="Y61" s="343">
        <v>2</v>
      </c>
      <c r="Z61" s="1">
        <v>2000</v>
      </c>
      <c r="AA61" s="1">
        <v>1</v>
      </c>
      <c r="AB61" s="28">
        <v>8</v>
      </c>
      <c r="AC61" s="1">
        <v>2000</v>
      </c>
      <c r="AD61" s="27">
        <v>4000</v>
      </c>
      <c r="AE61" s="1">
        <v>4000</v>
      </c>
      <c r="AF61" s="26">
        <f t="shared" si="1"/>
        <v>86400000</v>
      </c>
      <c r="AG61" s="25">
        <f t="shared" si="0"/>
        <v>8640</v>
      </c>
      <c r="AH61" s="1" t="s">
        <v>126</v>
      </c>
      <c r="AI61" s="1" t="s">
        <v>442</v>
      </c>
      <c r="AJ61" s="1" t="s">
        <v>441</v>
      </c>
      <c r="AK61" s="380">
        <v>25200</v>
      </c>
      <c r="AL61" s="347">
        <v>15900</v>
      </c>
      <c r="AM61" s="348">
        <v>4700</v>
      </c>
      <c r="AN61" s="348">
        <v>11200</v>
      </c>
      <c r="AO61" s="23" t="s">
        <v>314</v>
      </c>
      <c r="AR61" s="380">
        <v>25200</v>
      </c>
      <c r="AS61" s="347">
        <v>16500</v>
      </c>
      <c r="AT61" s="348">
        <v>4800</v>
      </c>
      <c r="AU61" s="348">
        <v>11700</v>
      </c>
      <c r="AV61" s="23" t="s">
        <v>314</v>
      </c>
      <c r="AY61" s="380">
        <v>25200</v>
      </c>
      <c r="AZ61" s="347">
        <v>17200</v>
      </c>
      <c r="BA61" s="348">
        <v>5000</v>
      </c>
      <c r="BB61" s="348">
        <v>12200</v>
      </c>
      <c r="BC61" s="23" t="s">
        <v>314</v>
      </c>
    </row>
    <row r="62" spans="10:55" x14ac:dyDescent="0.3">
      <c r="Q62" s="29" t="s">
        <v>434</v>
      </c>
      <c r="R62" s="29" t="s">
        <v>437</v>
      </c>
      <c r="S62" s="29" t="s">
        <v>138</v>
      </c>
      <c r="T62" s="29" t="s">
        <v>137</v>
      </c>
      <c r="U62" s="29" t="s">
        <v>128</v>
      </c>
      <c r="V62" s="29" t="s">
        <v>136</v>
      </c>
      <c r="W62" s="29" t="s">
        <v>135</v>
      </c>
      <c r="X62" s="29" t="s">
        <v>134</v>
      </c>
      <c r="Y62" s="343">
        <v>2</v>
      </c>
      <c r="Z62" s="1">
        <v>4000</v>
      </c>
      <c r="AA62" s="1">
        <v>1</v>
      </c>
      <c r="AB62" s="28">
        <v>8</v>
      </c>
      <c r="AC62" s="1">
        <v>4000</v>
      </c>
      <c r="AD62" s="27">
        <v>6500</v>
      </c>
      <c r="AE62" s="1">
        <v>6500</v>
      </c>
      <c r="AF62" s="26">
        <f t="shared" si="1"/>
        <v>140400000</v>
      </c>
      <c r="AG62" s="25">
        <f t="shared" si="0"/>
        <v>14040</v>
      </c>
      <c r="AH62" s="1" t="s">
        <v>126</v>
      </c>
      <c r="AI62" s="1" t="s">
        <v>442</v>
      </c>
      <c r="AJ62" s="1" t="s">
        <v>441</v>
      </c>
      <c r="AK62" s="380">
        <v>26500</v>
      </c>
      <c r="AL62" s="347">
        <v>15900</v>
      </c>
      <c r="AM62" s="348">
        <v>4700</v>
      </c>
      <c r="AN62" s="348">
        <v>11200</v>
      </c>
      <c r="AO62" s="23" t="s">
        <v>314</v>
      </c>
      <c r="AR62" s="380">
        <v>26500</v>
      </c>
      <c r="AS62" s="347">
        <v>16500</v>
      </c>
      <c r="AT62" s="348">
        <v>4800</v>
      </c>
      <c r="AU62" s="348">
        <v>11700</v>
      </c>
      <c r="AV62" s="23" t="s">
        <v>314</v>
      </c>
      <c r="AY62" s="380">
        <v>26500</v>
      </c>
      <c r="AZ62" s="347">
        <v>17200</v>
      </c>
      <c r="BA62" s="348">
        <v>5000</v>
      </c>
      <c r="BB62" s="348">
        <v>12200</v>
      </c>
      <c r="BC62" s="23" t="s">
        <v>314</v>
      </c>
    </row>
    <row r="63" spans="10:55" s="34" customFormat="1" x14ac:dyDescent="0.3">
      <c r="J63" s="350"/>
      <c r="Q63" s="34" t="s">
        <v>130</v>
      </c>
      <c r="R63" s="351" t="s">
        <v>428</v>
      </c>
      <c r="S63" s="351"/>
      <c r="T63" s="351"/>
      <c r="U63" s="351" t="s">
        <v>128</v>
      </c>
      <c r="V63" s="351"/>
      <c r="W63" s="351" t="s">
        <v>372</v>
      </c>
      <c r="X63" s="351" t="s">
        <v>134</v>
      </c>
      <c r="Y63" s="352">
        <v>0.75</v>
      </c>
      <c r="Z63" s="350">
        <v>0.75</v>
      </c>
      <c r="AA63" s="350">
        <v>0.5</v>
      </c>
      <c r="AB63" s="353"/>
      <c r="AC63" s="350">
        <v>0.75</v>
      </c>
      <c r="AD63" s="354">
        <v>500</v>
      </c>
      <c r="AE63" s="350">
        <v>500</v>
      </c>
      <c r="AF63" s="355">
        <f t="shared" si="1"/>
        <v>10800000</v>
      </c>
      <c r="AG63" s="356">
        <f t="shared" si="0"/>
        <v>1080</v>
      </c>
      <c r="AH63" s="1" t="s">
        <v>126</v>
      </c>
      <c r="AI63" s="1" t="s">
        <v>442</v>
      </c>
      <c r="AJ63" s="1" t="s">
        <v>441</v>
      </c>
      <c r="AK63" s="381">
        <v>3575</v>
      </c>
      <c r="AL63" s="347">
        <v>15900</v>
      </c>
      <c r="AM63" s="348">
        <v>4700</v>
      </c>
      <c r="AN63" s="348">
        <v>11200</v>
      </c>
      <c r="AO63" s="348" t="s">
        <v>431</v>
      </c>
      <c r="AR63" s="381">
        <v>3575</v>
      </c>
      <c r="AS63" s="347">
        <v>16500</v>
      </c>
      <c r="AT63" s="348">
        <v>4800</v>
      </c>
      <c r="AU63" s="348">
        <v>11700</v>
      </c>
      <c r="AV63" s="348" t="s">
        <v>431</v>
      </c>
      <c r="AY63" s="381">
        <v>3575</v>
      </c>
      <c r="AZ63" s="347">
        <v>17200</v>
      </c>
      <c r="BA63" s="348">
        <v>5000</v>
      </c>
      <c r="BB63" s="348">
        <v>12200</v>
      </c>
      <c r="BC63" s="348" t="s">
        <v>431</v>
      </c>
    </row>
    <row r="64" spans="10:55" s="34" customFormat="1" x14ac:dyDescent="0.3">
      <c r="J64" s="350"/>
      <c r="Q64" s="34" t="s">
        <v>129</v>
      </c>
      <c r="R64" s="351" t="s">
        <v>428</v>
      </c>
      <c r="S64" s="351"/>
      <c r="T64" s="351"/>
      <c r="U64" s="351" t="s">
        <v>128</v>
      </c>
      <c r="V64" s="351"/>
      <c r="W64" s="351" t="s">
        <v>372</v>
      </c>
      <c r="X64" s="351" t="s">
        <v>134</v>
      </c>
      <c r="Y64" s="352">
        <v>1.5</v>
      </c>
      <c r="Z64" s="350">
        <v>500</v>
      </c>
      <c r="AA64" s="350">
        <v>0.75</v>
      </c>
      <c r="AB64" s="353"/>
      <c r="AC64" s="350">
        <v>500</v>
      </c>
      <c r="AD64" s="354">
        <v>1250</v>
      </c>
      <c r="AE64" s="350">
        <v>1250</v>
      </c>
      <c r="AF64" s="355">
        <f t="shared" si="1"/>
        <v>27000000</v>
      </c>
      <c r="AG64" s="356">
        <f t="shared" si="0"/>
        <v>2700</v>
      </c>
      <c r="AH64" s="1" t="s">
        <v>126</v>
      </c>
      <c r="AI64" s="1" t="s">
        <v>442</v>
      </c>
      <c r="AJ64" s="1" t="s">
        <v>441</v>
      </c>
      <c r="AK64" s="381"/>
      <c r="AL64" s="347">
        <v>15900</v>
      </c>
      <c r="AM64" s="348">
        <v>4700</v>
      </c>
      <c r="AN64" s="348">
        <v>11200</v>
      </c>
      <c r="AO64" s="348" t="s">
        <v>431</v>
      </c>
      <c r="AR64" s="381"/>
      <c r="AS64" s="347">
        <v>16500</v>
      </c>
      <c r="AT64" s="348">
        <v>4800</v>
      </c>
      <c r="AU64" s="348">
        <v>11700</v>
      </c>
      <c r="AV64" s="348" t="s">
        <v>431</v>
      </c>
      <c r="AY64" s="381"/>
      <c r="AZ64" s="347">
        <v>17200</v>
      </c>
      <c r="BA64" s="348">
        <v>5000</v>
      </c>
      <c r="BB64" s="348">
        <v>12200</v>
      </c>
      <c r="BC64" s="348" t="s">
        <v>431</v>
      </c>
    </row>
    <row r="65" spans="10:55" s="34" customFormat="1" x14ac:dyDescent="0.3">
      <c r="J65" s="350"/>
      <c r="Q65" s="34" t="s">
        <v>435</v>
      </c>
      <c r="R65" s="351" t="s">
        <v>428</v>
      </c>
      <c r="S65" s="351"/>
      <c r="T65" s="351"/>
      <c r="U65" s="351" t="s">
        <v>128</v>
      </c>
      <c r="V65" s="351"/>
      <c r="W65" s="351" t="s">
        <v>372</v>
      </c>
      <c r="X65" s="351" t="s">
        <v>134</v>
      </c>
      <c r="Y65" s="352">
        <v>2</v>
      </c>
      <c r="Z65" s="350">
        <v>1250</v>
      </c>
      <c r="AA65" s="350">
        <v>1</v>
      </c>
      <c r="AB65" s="353"/>
      <c r="AC65" s="350">
        <v>1250</v>
      </c>
      <c r="AD65" s="354">
        <v>2000</v>
      </c>
      <c r="AE65" s="350">
        <v>2000</v>
      </c>
      <c r="AF65" s="355">
        <f t="shared" si="1"/>
        <v>43200000</v>
      </c>
      <c r="AG65" s="356">
        <f t="shared" si="0"/>
        <v>4320</v>
      </c>
      <c r="AH65" s="1" t="s">
        <v>126</v>
      </c>
      <c r="AI65" s="1" t="s">
        <v>442</v>
      </c>
      <c r="AJ65" s="1" t="s">
        <v>441</v>
      </c>
      <c r="AK65" s="381"/>
      <c r="AL65" s="347">
        <v>15900</v>
      </c>
      <c r="AM65" s="348">
        <v>4700</v>
      </c>
      <c r="AN65" s="348">
        <v>11200</v>
      </c>
      <c r="AO65" s="348" t="s">
        <v>431</v>
      </c>
      <c r="AR65" s="381"/>
      <c r="AS65" s="347">
        <v>16500</v>
      </c>
      <c r="AT65" s="348">
        <v>4800</v>
      </c>
      <c r="AU65" s="348">
        <v>11700</v>
      </c>
      <c r="AV65" s="348" t="s">
        <v>431</v>
      </c>
      <c r="AY65" s="381"/>
      <c r="AZ65" s="347">
        <v>17200</v>
      </c>
      <c r="BA65" s="348">
        <v>5000</v>
      </c>
      <c r="BB65" s="348">
        <v>12200</v>
      </c>
      <c r="BC65" s="348" t="s">
        <v>431</v>
      </c>
    </row>
    <row r="66" spans="10:55" s="34" customFormat="1" x14ac:dyDescent="0.3">
      <c r="J66" s="350"/>
      <c r="Q66" s="34" t="s">
        <v>433</v>
      </c>
      <c r="R66" s="351" t="s">
        <v>428</v>
      </c>
      <c r="S66" s="351"/>
      <c r="T66" s="351"/>
      <c r="U66" s="351" t="s">
        <v>128</v>
      </c>
      <c r="V66" s="351"/>
      <c r="W66" s="351" t="s">
        <v>372</v>
      </c>
      <c r="X66" s="351" t="s">
        <v>134</v>
      </c>
      <c r="Y66" s="352">
        <v>6</v>
      </c>
      <c r="Z66" s="350">
        <v>2000</v>
      </c>
      <c r="AA66" s="350">
        <v>4</v>
      </c>
      <c r="AB66" s="353"/>
      <c r="AC66" s="350">
        <v>2000</v>
      </c>
      <c r="AD66" s="354">
        <v>4000</v>
      </c>
      <c r="AE66" s="350">
        <v>4000</v>
      </c>
      <c r="AF66" s="355">
        <f t="shared" si="1"/>
        <v>86400000</v>
      </c>
      <c r="AG66" s="356">
        <f t="shared" si="0"/>
        <v>8640</v>
      </c>
      <c r="AH66" s="1" t="s">
        <v>126</v>
      </c>
      <c r="AI66" s="1" t="s">
        <v>442</v>
      </c>
      <c r="AJ66" s="1" t="s">
        <v>441</v>
      </c>
      <c r="AK66" s="381"/>
      <c r="AL66" s="347">
        <v>15900</v>
      </c>
      <c r="AM66" s="348">
        <v>4700</v>
      </c>
      <c r="AN66" s="348">
        <v>11200</v>
      </c>
      <c r="AO66" s="348" t="s">
        <v>431</v>
      </c>
      <c r="AR66" s="381"/>
      <c r="AS66" s="347">
        <v>16500</v>
      </c>
      <c r="AT66" s="348">
        <v>4800</v>
      </c>
      <c r="AU66" s="348">
        <v>11700</v>
      </c>
      <c r="AV66" s="348" t="s">
        <v>431</v>
      </c>
      <c r="AY66" s="381"/>
      <c r="AZ66" s="347">
        <v>17200</v>
      </c>
      <c r="BA66" s="348">
        <v>5000</v>
      </c>
      <c r="BB66" s="348">
        <v>12200</v>
      </c>
      <c r="BC66" s="348" t="s">
        <v>431</v>
      </c>
    </row>
    <row r="67" spans="10:55" s="34" customFormat="1" x14ac:dyDescent="0.3">
      <c r="J67" s="350"/>
      <c r="Q67" s="34" t="s">
        <v>434</v>
      </c>
      <c r="R67" s="351" t="s">
        <v>428</v>
      </c>
      <c r="S67" s="351"/>
      <c r="T67" s="351"/>
      <c r="U67" s="351" t="s">
        <v>128</v>
      </c>
      <c r="V67" s="351"/>
      <c r="W67" s="351" t="s">
        <v>372</v>
      </c>
      <c r="X67" s="351" t="s">
        <v>134</v>
      </c>
      <c r="Y67" s="352">
        <v>10</v>
      </c>
      <c r="Z67" s="350">
        <v>4000</v>
      </c>
      <c r="AA67" s="350">
        <v>6</v>
      </c>
      <c r="AB67" s="353"/>
      <c r="AC67" s="350">
        <v>4000</v>
      </c>
      <c r="AD67" s="354">
        <v>6500</v>
      </c>
      <c r="AE67" s="350">
        <v>6500</v>
      </c>
      <c r="AF67" s="355">
        <f t="shared" si="1"/>
        <v>140400000</v>
      </c>
      <c r="AG67" s="356">
        <f t="shared" si="0"/>
        <v>14040</v>
      </c>
      <c r="AH67" s="1" t="s">
        <v>126</v>
      </c>
      <c r="AI67" s="1" t="s">
        <v>442</v>
      </c>
      <c r="AJ67" s="1" t="s">
        <v>441</v>
      </c>
      <c r="AK67" s="381"/>
      <c r="AL67" s="347">
        <v>15900</v>
      </c>
      <c r="AM67" s="348">
        <v>4700</v>
      </c>
      <c r="AN67" s="348">
        <v>11200</v>
      </c>
      <c r="AO67" s="348" t="s">
        <v>431</v>
      </c>
      <c r="AR67" s="381"/>
      <c r="AS67" s="347">
        <v>16500</v>
      </c>
      <c r="AT67" s="348">
        <v>4800</v>
      </c>
      <c r="AU67" s="348">
        <v>11700</v>
      </c>
      <c r="AV67" s="348" t="s">
        <v>431</v>
      </c>
      <c r="AY67" s="381"/>
      <c r="AZ67" s="347">
        <v>17200</v>
      </c>
      <c r="BA67" s="348">
        <v>5000</v>
      </c>
      <c r="BB67" s="348">
        <v>12200</v>
      </c>
      <c r="BC67" s="348" t="s">
        <v>431</v>
      </c>
    </row>
    <row r="68" spans="10:55" s="34" customFormat="1" x14ac:dyDescent="0.3">
      <c r="J68" s="350"/>
      <c r="Q68" s="34" t="s">
        <v>436</v>
      </c>
      <c r="R68" s="351" t="s">
        <v>428</v>
      </c>
      <c r="S68" s="351"/>
      <c r="T68" s="351"/>
      <c r="U68" s="351" t="s">
        <v>128</v>
      </c>
      <c r="V68" s="351"/>
      <c r="W68" s="351" t="s">
        <v>372</v>
      </c>
      <c r="X68" s="351" t="s">
        <v>134</v>
      </c>
      <c r="Y68" s="352">
        <v>12</v>
      </c>
      <c r="Z68" s="350">
        <v>6500</v>
      </c>
      <c r="AA68" s="350">
        <v>8</v>
      </c>
      <c r="AB68" s="353"/>
      <c r="AC68" s="350">
        <v>6500</v>
      </c>
      <c r="AD68" s="354">
        <v>8000</v>
      </c>
      <c r="AE68" s="350">
        <v>8000</v>
      </c>
      <c r="AF68" s="355">
        <f t="shared" ref="AF68" si="2">AE68*60*12*30</f>
        <v>172800000</v>
      </c>
      <c r="AG68" s="356">
        <f t="shared" ref="AG68" si="3">AF68/10000</f>
        <v>17280</v>
      </c>
      <c r="AH68" s="1" t="s">
        <v>126</v>
      </c>
      <c r="AI68" s="1" t="s">
        <v>442</v>
      </c>
      <c r="AJ68" s="1" t="s">
        <v>441</v>
      </c>
      <c r="AK68" s="381"/>
      <c r="AL68" s="347">
        <v>15900</v>
      </c>
      <c r="AM68" s="348">
        <v>4700</v>
      </c>
      <c r="AN68" s="348">
        <v>11200</v>
      </c>
      <c r="AO68" s="348" t="s">
        <v>431</v>
      </c>
      <c r="AR68" s="381"/>
      <c r="AS68" s="347">
        <v>16500</v>
      </c>
      <c r="AT68" s="348">
        <v>4800</v>
      </c>
      <c r="AU68" s="348">
        <v>11700</v>
      </c>
      <c r="AV68" s="348" t="s">
        <v>431</v>
      </c>
      <c r="AY68" s="381"/>
      <c r="AZ68" s="347">
        <v>17200</v>
      </c>
      <c r="BA68" s="348">
        <v>5000</v>
      </c>
      <c r="BB68" s="348">
        <v>12200</v>
      </c>
      <c r="BC68" s="348" t="s">
        <v>431</v>
      </c>
    </row>
    <row r="69" spans="10:55" ht="16.2" x14ac:dyDescent="0.3">
      <c r="Q69" s="34"/>
      <c r="Z69" s="29" t="s">
        <v>361</v>
      </c>
      <c r="AA69" s="29" t="s">
        <v>362</v>
      </c>
      <c r="AB69" t="s">
        <v>363</v>
      </c>
      <c r="AD69" t="s">
        <v>364</v>
      </c>
      <c r="AI69" s="1" t="s">
        <v>442</v>
      </c>
      <c r="AJ69" s="1" t="s">
        <v>441</v>
      </c>
      <c r="AM69" s="23"/>
      <c r="AN69" s="23"/>
      <c r="AO69" s="22"/>
      <c r="AR69" s="378"/>
      <c r="AY69" s="378"/>
    </row>
    <row r="70" spans="10:55" x14ac:dyDescent="0.3">
      <c r="P70" s="29" t="s">
        <v>369</v>
      </c>
      <c r="Q70" t="s">
        <v>92</v>
      </c>
      <c r="R70" s="29" t="s">
        <v>371</v>
      </c>
      <c r="U70" s="29" t="s">
        <v>128</v>
      </c>
      <c r="W70" s="29" t="s">
        <v>372</v>
      </c>
      <c r="X70" s="29" t="s">
        <v>418</v>
      </c>
      <c r="Z70" s="1">
        <v>0.04</v>
      </c>
      <c r="AA70" s="1">
        <v>16</v>
      </c>
      <c r="AB70" s="281">
        <f>Z70*4.403</f>
        <v>0.17612</v>
      </c>
      <c r="AD70" s="11">
        <f t="shared" ref="AD70:AD72" si="4">AA70*4.403</f>
        <v>70.447999999999993</v>
      </c>
      <c r="AE70" s="11">
        <f t="shared" ref="AE70:AE72" si="5">AD70</f>
        <v>70.447999999999993</v>
      </c>
      <c r="AF70" s="26">
        <f t="shared" ref="AF70:AF72" si="6">AE70*60*12*30</f>
        <v>1521676.7999999998</v>
      </c>
      <c r="AG70" s="25">
        <f t="shared" ref="AG70:AG72" si="7">AF70/10000</f>
        <v>152.16767999999999</v>
      </c>
      <c r="AH70" s="1" t="s">
        <v>126</v>
      </c>
      <c r="AI70" s="1" t="s">
        <v>442</v>
      </c>
      <c r="AJ70" s="1" t="s">
        <v>441</v>
      </c>
      <c r="AR70" s="378"/>
      <c r="AY70" s="378"/>
    </row>
    <row r="71" spans="10:55" x14ac:dyDescent="0.3">
      <c r="P71" s="29" t="s">
        <v>421</v>
      </c>
      <c r="Q71" t="s">
        <v>93</v>
      </c>
      <c r="R71" s="29" t="s">
        <v>371</v>
      </c>
      <c r="U71" s="29" t="s">
        <v>128</v>
      </c>
      <c r="W71" s="29" t="s">
        <v>372</v>
      </c>
      <c r="X71" s="29" t="s">
        <v>419</v>
      </c>
      <c r="Z71" s="1">
        <v>6.25E-2</v>
      </c>
      <c r="AA71" s="1">
        <v>25</v>
      </c>
      <c r="AB71" s="281">
        <f t="shared" ref="AB71:AB72" si="8">Z71*4.403</f>
        <v>0.27518749999999997</v>
      </c>
      <c r="AD71" s="11">
        <f t="shared" si="4"/>
        <v>110.07499999999999</v>
      </c>
      <c r="AE71" s="11">
        <f t="shared" si="5"/>
        <v>110.07499999999999</v>
      </c>
      <c r="AF71" s="26">
        <f t="shared" si="6"/>
        <v>2377619.9999999995</v>
      </c>
      <c r="AG71" s="25">
        <f t="shared" si="7"/>
        <v>237.76199999999994</v>
      </c>
      <c r="AH71" s="1" t="s">
        <v>126</v>
      </c>
      <c r="AI71" s="1" t="s">
        <v>442</v>
      </c>
      <c r="AJ71" s="1" t="s">
        <v>441</v>
      </c>
      <c r="AR71" s="378"/>
      <c r="AY71" s="378"/>
    </row>
    <row r="72" spans="10:55" x14ac:dyDescent="0.3">
      <c r="P72" s="29" t="s">
        <v>422</v>
      </c>
      <c r="Q72" t="s">
        <v>94</v>
      </c>
      <c r="R72" s="29" t="s">
        <v>371</v>
      </c>
      <c r="U72" s="29" t="s">
        <v>128</v>
      </c>
      <c r="W72" s="29" t="s">
        <v>372</v>
      </c>
      <c r="X72" s="29" t="s">
        <v>420</v>
      </c>
      <c r="Z72" s="1">
        <v>0.1</v>
      </c>
      <c r="AA72" s="1">
        <v>40</v>
      </c>
      <c r="AB72" s="281">
        <f t="shared" si="8"/>
        <v>0.44029999999999997</v>
      </c>
      <c r="AD72" s="11">
        <f t="shared" si="4"/>
        <v>176.11999999999998</v>
      </c>
      <c r="AE72" s="11">
        <f t="shared" si="5"/>
        <v>176.11999999999998</v>
      </c>
      <c r="AF72" s="26">
        <f t="shared" si="6"/>
        <v>3804192</v>
      </c>
      <c r="AG72" s="25">
        <f t="shared" si="7"/>
        <v>380.41919999999999</v>
      </c>
      <c r="AH72" s="1" t="s">
        <v>126</v>
      </c>
      <c r="AI72" s="1" t="s">
        <v>442</v>
      </c>
      <c r="AJ72" s="1" t="s">
        <v>441</v>
      </c>
      <c r="AK72" s="378">
        <v>3950</v>
      </c>
      <c r="AR72" s="378">
        <v>3950</v>
      </c>
      <c r="AY72" s="378">
        <v>3950</v>
      </c>
    </row>
    <row r="73" spans="10:55" x14ac:dyDescent="0.3">
      <c r="P73" s="29" t="s">
        <v>365</v>
      </c>
      <c r="Q73" t="s">
        <v>95</v>
      </c>
      <c r="R73" s="29" t="s">
        <v>371</v>
      </c>
      <c r="U73" s="29" t="s">
        <v>128</v>
      </c>
      <c r="W73" s="29" t="s">
        <v>372</v>
      </c>
      <c r="X73" s="29" t="s">
        <v>370</v>
      </c>
      <c r="Z73">
        <v>0.15870000000000001</v>
      </c>
      <c r="AA73">
        <v>100</v>
      </c>
      <c r="AB73" s="281">
        <f t="shared" ref="AB73:AB78" si="9">Z73*4.403</f>
        <v>0.69875609999999999</v>
      </c>
      <c r="AD73" s="11">
        <f t="shared" ref="AD73:AD78" si="10">AA73*4.403</f>
        <v>440.29999999999995</v>
      </c>
      <c r="AE73" s="11">
        <f>AD73</f>
        <v>440.29999999999995</v>
      </c>
      <c r="AF73" s="26">
        <f>AE73*60*12*30</f>
        <v>9510479.9999999981</v>
      </c>
      <c r="AG73" s="25">
        <f t="shared" ref="AG73:AG78" si="11">AF73/10000</f>
        <v>951.04799999999977</v>
      </c>
      <c r="AH73" s="1" t="s">
        <v>126</v>
      </c>
      <c r="AI73" s="1" t="s">
        <v>442</v>
      </c>
      <c r="AJ73" s="1" t="s">
        <v>441</v>
      </c>
      <c r="AN73" s="23">
        <v>10800</v>
      </c>
      <c r="AR73" s="378"/>
      <c r="AY73" s="378"/>
    </row>
    <row r="74" spans="10:55" x14ac:dyDescent="0.3">
      <c r="P74" s="29" t="s">
        <v>366</v>
      </c>
      <c r="Q74" t="s">
        <v>96</v>
      </c>
      <c r="R74" s="29" t="s">
        <v>371</v>
      </c>
      <c r="U74" s="29" t="s">
        <v>128</v>
      </c>
      <c r="W74" s="29" t="s">
        <v>372</v>
      </c>
      <c r="X74" s="29" t="s">
        <v>370</v>
      </c>
      <c r="Z74">
        <v>0.254</v>
      </c>
      <c r="AA74">
        <v>160</v>
      </c>
      <c r="AB74" s="281">
        <f t="shared" si="9"/>
        <v>1.1183619999999999</v>
      </c>
      <c r="AD74" s="11">
        <f t="shared" si="10"/>
        <v>704.4799999999999</v>
      </c>
      <c r="AE74" s="11">
        <f t="shared" ref="AE74:AE78" si="12">AD74</f>
        <v>704.4799999999999</v>
      </c>
      <c r="AF74" s="26">
        <f t="shared" ref="AF74:AF78" si="13">AE74*60*12*30</f>
        <v>15216768</v>
      </c>
      <c r="AG74" s="25">
        <f t="shared" si="11"/>
        <v>1521.6768</v>
      </c>
      <c r="AH74" s="1" t="s">
        <v>126</v>
      </c>
      <c r="AI74" s="1" t="s">
        <v>442</v>
      </c>
      <c r="AJ74" s="1" t="s">
        <v>441</v>
      </c>
      <c r="AK74" s="378">
        <v>4550</v>
      </c>
      <c r="AN74" s="23">
        <v>10800</v>
      </c>
      <c r="AR74" s="378">
        <v>4550</v>
      </c>
      <c r="AY74" s="378">
        <v>4550</v>
      </c>
    </row>
    <row r="75" spans="10:55" x14ac:dyDescent="0.3">
      <c r="P75" s="29" t="s">
        <v>367</v>
      </c>
      <c r="Q75" t="s">
        <v>77</v>
      </c>
      <c r="R75" s="29" t="s">
        <v>371</v>
      </c>
      <c r="U75" s="29" t="s">
        <v>128</v>
      </c>
      <c r="W75" s="29" t="s">
        <v>372</v>
      </c>
      <c r="X75" s="29" t="s">
        <v>370</v>
      </c>
      <c r="Z75">
        <v>0.39679999999999999</v>
      </c>
      <c r="AA75">
        <v>250</v>
      </c>
      <c r="AB75" s="281">
        <f t="shared" si="9"/>
        <v>1.7471103999999997</v>
      </c>
      <c r="AD75" s="11">
        <f t="shared" si="10"/>
        <v>1100.75</v>
      </c>
      <c r="AE75" s="11">
        <f t="shared" si="12"/>
        <v>1100.75</v>
      </c>
      <c r="AF75" s="26">
        <f t="shared" si="13"/>
        <v>23776200</v>
      </c>
      <c r="AG75" s="25">
        <f t="shared" si="11"/>
        <v>2377.62</v>
      </c>
      <c r="AH75" s="1" t="s">
        <v>126</v>
      </c>
      <c r="AI75" s="1" t="s">
        <v>442</v>
      </c>
      <c r="AJ75" s="1" t="s">
        <v>441</v>
      </c>
      <c r="AK75" s="378">
        <v>5150</v>
      </c>
      <c r="AN75" s="23">
        <v>10800</v>
      </c>
      <c r="AR75" s="378">
        <v>5150</v>
      </c>
      <c r="AY75" s="378">
        <v>5150</v>
      </c>
    </row>
    <row r="76" spans="10:55" x14ac:dyDescent="0.3">
      <c r="P76" s="29" t="s">
        <v>423</v>
      </c>
      <c r="Q76" t="s">
        <v>78</v>
      </c>
      <c r="R76" s="29" t="s">
        <v>371</v>
      </c>
      <c r="U76" s="29" t="s">
        <v>128</v>
      </c>
      <c r="W76" s="29" t="s">
        <v>372</v>
      </c>
      <c r="X76" s="29" t="s">
        <v>370</v>
      </c>
      <c r="Z76">
        <v>0.63490000000000002</v>
      </c>
      <c r="AA76">
        <v>400</v>
      </c>
      <c r="AB76" s="281">
        <f t="shared" si="9"/>
        <v>2.7954646999999997</v>
      </c>
      <c r="AD76" s="11">
        <f t="shared" si="10"/>
        <v>1761.1999999999998</v>
      </c>
      <c r="AE76" s="11">
        <f t="shared" si="12"/>
        <v>1761.1999999999998</v>
      </c>
      <c r="AF76" s="26">
        <f t="shared" si="13"/>
        <v>38041919.999999993</v>
      </c>
      <c r="AG76" s="25">
        <f t="shared" si="11"/>
        <v>3804.1919999999991</v>
      </c>
      <c r="AH76" s="1" t="s">
        <v>126</v>
      </c>
      <c r="AI76" s="1" t="s">
        <v>442</v>
      </c>
      <c r="AJ76" s="1" t="s">
        <v>441</v>
      </c>
      <c r="AN76" s="23">
        <v>10800</v>
      </c>
      <c r="AR76" s="378"/>
      <c r="AY76" s="378"/>
    </row>
    <row r="77" spans="10:55" x14ac:dyDescent="0.3">
      <c r="P77" s="29" t="s">
        <v>368</v>
      </c>
      <c r="Q77" t="s">
        <v>79</v>
      </c>
      <c r="R77" s="29" t="s">
        <v>371</v>
      </c>
      <c r="U77" s="29" t="s">
        <v>128</v>
      </c>
      <c r="W77" s="29" t="s">
        <v>372</v>
      </c>
      <c r="X77" s="29" t="s">
        <v>370</v>
      </c>
      <c r="Z77">
        <v>1</v>
      </c>
      <c r="AA77">
        <v>1000</v>
      </c>
      <c r="AB77" s="281">
        <f t="shared" si="9"/>
        <v>4.4029999999999996</v>
      </c>
      <c r="AD77" s="11">
        <f t="shared" si="10"/>
        <v>4403</v>
      </c>
      <c r="AE77" s="11">
        <f t="shared" si="12"/>
        <v>4403</v>
      </c>
      <c r="AF77" s="26">
        <f t="shared" si="13"/>
        <v>95104800</v>
      </c>
      <c r="AG77" s="25">
        <f t="shared" si="11"/>
        <v>9510.48</v>
      </c>
      <c r="AH77" s="1" t="s">
        <v>126</v>
      </c>
      <c r="AI77" s="1" t="s">
        <v>442</v>
      </c>
      <c r="AJ77" s="1" t="s">
        <v>441</v>
      </c>
      <c r="AN77" s="23">
        <v>10800</v>
      </c>
      <c r="AR77" s="378"/>
      <c r="AY77" s="378"/>
    </row>
    <row r="78" spans="10:55" x14ac:dyDescent="0.3">
      <c r="P78" s="29" t="s">
        <v>369</v>
      </c>
      <c r="R78" s="29" t="s">
        <v>371</v>
      </c>
      <c r="U78" s="29" t="s">
        <v>128</v>
      </c>
      <c r="W78" s="29" t="s">
        <v>372</v>
      </c>
      <c r="X78" s="29" t="s">
        <v>370</v>
      </c>
      <c r="Z78">
        <v>1.6</v>
      </c>
      <c r="AA78">
        <v>1600</v>
      </c>
      <c r="AB78" s="281">
        <f t="shared" si="9"/>
        <v>7.0447999999999995</v>
      </c>
      <c r="AD78" s="11">
        <f t="shared" si="10"/>
        <v>7044.7999999999993</v>
      </c>
      <c r="AE78" s="11">
        <f t="shared" si="12"/>
        <v>7044.7999999999993</v>
      </c>
      <c r="AF78" s="26">
        <f t="shared" si="13"/>
        <v>152167679.99999997</v>
      </c>
      <c r="AG78" s="25">
        <f t="shared" si="11"/>
        <v>15216.767999999996</v>
      </c>
      <c r="AH78" s="1" t="s">
        <v>126</v>
      </c>
      <c r="AI78" s="1" t="s">
        <v>442</v>
      </c>
      <c r="AJ78" s="1" t="s">
        <v>441</v>
      </c>
      <c r="AN78" s="23">
        <v>10800</v>
      </c>
      <c r="AR78" s="378"/>
      <c r="AY78" s="378"/>
    </row>
    <row r="79" spans="10:55" x14ac:dyDescent="0.3">
      <c r="AR79" s="378"/>
      <c r="AY79" s="378"/>
    </row>
  </sheetData>
  <sheetProtection algorithmName="SHA-512" hashValue="Ou+14824rbTWOKeUyh5ALln12Jj/0ol6EQlvCWZwfbwf/hmWZo05zKJnDdzQhupDXcEbV5D+g/CbfsbBvhxPbw==" saltValue="8f1vpvvBoQQzxEz0OMMxuA==" spinCount="100000" sheet="1" selectLockedCells="1" selectUnlockedCells="1"/>
  <mergeCells count="4">
    <mergeCell ref="AK51:AO51"/>
    <mergeCell ref="Q51:AH51"/>
    <mergeCell ref="AR51:AV51"/>
    <mergeCell ref="AY51:BC51"/>
  </mergeCells>
  <pageMargins left="0.7" right="0.7" top="0.75" bottom="0.75" header="0.3" footer="0.3"/>
  <pageSetup paperSize="3" orientation="landscape"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3:F62"/>
  <sheetViews>
    <sheetView topLeftCell="A46" workbookViewId="0">
      <selection activeCell="A56" sqref="A56:XFD56"/>
    </sheetView>
  </sheetViews>
  <sheetFormatPr defaultRowHeight="14.4" x14ac:dyDescent="0.3"/>
  <cols>
    <col min="1" max="1" width="31.5546875" customWidth="1"/>
  </cols>
  <sheetData>
    <row r="3" spans="1:6" ht="27" x14ac:dyDescent="0.3">
      <c r="A3" s="4" t="s">
        <v>0</v>
      </c>
      <c r="B3" s="2"/>
      <c r="C3" s="2"/>
      <c r="D3" s="2"/>
      <c r="E3" s="5" t="s">
        <v>1</v>
      </c>
      <c r="F3" s="5" t="s">
        <v>2</v>
      </c>
    </row>
    <row r="4" spans="1:6" x14ac:dyDescent="0.3">
      <c r="E4" s="1"/>
      <c r="F4" s="1"/>
    </row>
    <row r="6" spans="1:6" x14ac:dyDescent="0.3">
      <c r="A6" s="6" t="str">
        <f>""</f>
        <v/>
      </c>
      <c r="E6" s="7" t="str">
        <f>""</f>
        <v/>
      </c>
      <c r="F6" s="7" t="str">
        <f>""</f>
        <v/>
      </c>
    </row>
    <row r="7" spans="1:6" x14ac:dyDescent="0.3">
      <c r="A7" s="6" t="s">
        <v>3</v>
      </c>
      <c r="E7" s="7">
        <v>298</v>
      </c>
      <c r="F7" s="7">
        <v>278</v>
      </c>
    </row>
    <row r="8" spans="1:6" x14ac:dyDescent="0.3">
      <c r="A8" s="6" t="s">
        <v>17</v>
      </c>
      <c r="E8" s="7">
        <v>376</v>
      </c>
      <c r="F8" s="7">
        <v>356</v>
      </c>
    </row>
    <row r="9" spans="1:6" x14ac:dyDescent="0.3">
      <c r="A9" s="6" t="s">
        <v>16</v>
      </c>
      <c r="E9" s="7">
        <v>457</v>
      </c>
      <c r="F9" s="7">
        <v>437</v>
      </c>
    </row>
    <row r="10" spans="1:6" x14ac:dyDescent="0.3">
      <c r="A10" s="6" t="s">
        <v>4</v>
      </c>
      <c r="E10" s="7">
        <v>535</v>
      </c>
      <c r="F10" s="7">
        <v>515</v>
      </c>
    </row>
    <row r="11" spans="1:6" x14ac:dyDescent="0.3">
      <c r="A11" s="8" t="s">
        <v>5</v>
      </c>
      <c r="B11" s="9"/>
      <c r="C11" s="9"/>
      <c r="D11" s="9"/>
      <c r="E11" s="10">
        <v>495</v>
      </c>
      <c r="F11" s="10">
        <v>475</v>
      </c>
    </row>
    <row r="12" spans="1:6" x14ac:dyDescent="0.3">
      <c r="A12" s="8" t="s">
        <v>6</v>
      </c>
      <c r="B12" s="9"/>
      <c r="C12" s="9"/>
      <c r="D12" s="9"/>
      <c r="E12" s="10">
        <v>391</v>
      </c>
      <c r="F12" s="10">
        <v>371</v>
      </c>
    </row>
    <row r="13" spans="1:6" x14ac:dyDescent="0.3">
      <c r="A13" s="6" t="s">
        <v>7</v>
      </c>
      <c r="E13" s="7">
        <v>457</v>
      </c>
      <c r="F13" s="7">
        <v>437</v>
      </c>
    </row>
    <row r="14" spans="1:6" x14ac:dyDescent="0.3">
      <c r="A14" s="6" t="s">
        <v>8</v>
      </c>
      <c r="E14" s="7">
        <v>391</v>
      </c>
      <c r="F14" s="7">
        <v>371</v>
      </c>
    </row>
    <row r="15" spans="1:6" x14ac:dyDescent="0.3">
      <c r="A15" s="6" t="s">
        <v>14</v>
      </c>
      <c r="E15" s="7">
        <v>525</v>
      </c>
      <c r="F15" s="7">
        <v>505</v>
      </c>
    </row>
    <row r="16" spans="1:6" x14ac:dyDescent="0.3">
      <c r="A16" s="6" t="s">
        <v>15</v>
      </c>
      <c r="E16" s="7">
        <v>376</v>
      </c>
      <c r="F16" s="7">
        <v>356</v>
      </c>
    </row>
    <row r="17" spans="1:6" x14ac:dyDescent="0.3">
      <c r="A17" s="6" t="s">
        <v>9</v>
      </c>
      <c r="E17" s="7">
        <v>299</v>
      </c>
      <c r="F17" s="7">
        <v>278</v>
      </c>
    </row>
    <row r="20" spans="1:6" x14ac:dyDescent="0.3">
      <c r="A20" s="6" t="s">
        <v>25</v>
      </c>
    </row>
    <row r="21" spans="1:6" x14ac:dyDescent="0.3">
      <c r="A21" s="6" t="s">
        <v>26</v>
      </c>
    </row>
    <row r="22" spans="1:6" x14ac:dyDescent="0.3">
      <c r="A22" s="6" t="s">
        <v>27</v>
      </c>
    </row>
    <row r="23" spans="1:6" x14ac:dyDescent="0.3">
      <c r="A23" s="6" t="s">
        <v>28</v>
      </c>
    </row>
    <row r="24" spans="1:6" x14ac:dyDescent="0.3">
      <c r="A24" s="6" t="s">
        <v>29</v>
      </c>
    </row>
    <row r="25" spans="1:6" x14ac:dyDescent="0.3">
      <c r="A25" s="6" t="s">
        <v>351</v>
      </c>
    </row>
    <row r="26" spans="1:6" x14ac:dyDescent="0.3">
      <c r="A26" s="6" t="s">
        <v>30</v>
      </c>
    </row>
    <row r="27" spans="1:6" x14ac:dyDescent="0.3">
      <c r="A27" s="6" t="s">
        <v>31</v>
      </c>
    </row>
    <row r="28" spans="1:6" x14ac:dyDescent="0.3">
      <c r="A28" s="6" t="s">
        <v>32</v>
      </c>
    </row>
    <row r="29" spans="1:6" x14ac:dyDescent="0.3">
      <c r="A29" s="6" t="s">
        <v>33</v>
      </c>
    </row>
    <row r="30" spans="1:6" x14ac:dyDescent="0.3">
      <c r="A30" s="6" t="s">
        <v>34</v>
      </c>
    </row>
    <row r="31" spans="1:6" x14ac:dyDescent="0.3">
      <c r="A31" s="6" t="s">
        <v>35</v>
      </c>
    </row>
    <row r="32" spans="1:6" x14ac:dyDescent="0.3">
      <c r="A32" s="6" t="s">
        <v>36</v>
      </c>
    </row>
    <row r="33" spans="1:1" x14ac:dyDescent="0.3">
      <c r="A33" s="6" t="s">
        <v>37</v>
      </c>
    </row>
    <row r="34" spans="1:1" x14ac:dyDescent="0.3">
      <c r="A34" s="6" t="s">
        <v>38</v>
      </c>
    </row>
    <row r="35" spans="1:1" x14ac:dyDescent="0.3">
      <c r="A35" s="6" t="s">
        <v>39</v>
      </c>
    </row>
    <row r="36" spans="1:1" x14ac:dyDescent="0.3">
      <c r="A36" s="6" t="s">
        <v>40</v>
      </c>
    </row>
    <row r="37" spans="1:1" x14ac:dyDescent="0.3">
      <c r="A37" s="6" t="s">
        <v>41</v>
      </c>
    </row>
    <row r="38" spans="1:1" x14ac:dyDescent="0.3">
      <c r="A38" s="6" t="s">
        <v>42</v>
      </c>
    </row>
    <row r="39" spans="1:1" x14ac:dyDescent="0.3">
      <c r="A39" s="6" t="s">
        <v>43</v>
      </c>
    </row>
    <row r="40" spans="1:1" x14ac:dyDescent="0.3">
      <c r="A40" s="6" t="s">
        <v>44</v>
      </c>
    </row>
    <row r="41" spans="1:1" x14ac:dyDescent="0.3">
      <c r="A41" s="6" t="s">
        <v>43</v>
      </c>
    </row>
    <row r="42" spans="1:1" x14ac:dyDescent="0.3">
      <c r="A42" s="6" t="s">
        <v>44</v>
      </c>
    </row>
    <row r="43" spans="1:1" x14ac:dyDescent="0.3">
      <c r="A43" s="6" t="s">
        <v>45</v>
      </c>
    </row>
    <row r="44" spans="1:1" x14ac:dyDescent="0.3">
      <c r="A44" s="6" t="s">
        <v>46</v>
      </c>
    </row>
    <row r="45" spans="1:1" x14ac:dyDescent="0.3">
      <c r="A45" s="6" t="s">
        <v>47</v>
      </c>
    </row>
    <row r="46" spans="1:1" x14ac:dyDescent="0.3">
      <c r="A46" s="6" t="s">
        <v>48</v>
      </c>
    </row>
    <row r="47" spans="1:1" x14ac:dyDescent="0.3">
      <c r="A47" s="6" t="s">
        <v>49</v>
      </c>
    </row>
    <row r="48" spans="1:1" x14ac:dyDescent="0.3">
      <c r="A48" s="6" t="s">
        <v>50</v>
      </c>
    </row>
    <row r="49" spans="1:1" x14ac:dyDescent="0.3">
      <c r="A49" s="6" t="s">
        <v>51</v>
      </c>
    </row>
    <row r="50" spans="1:1" x14ac:dyDescent="0.3">
      <c r="A50" s="6" t="s">
        <v>52</v>
      </c>
    </row>
    <row r="51" spans="1:1" x14ac:dyDescent="0.3">
      <c r="A51" s="6" t="s">
        <v>53</v>
      </c>
    </row>
    <row r="52" spans="1:1" x14ac:dyDescent="0.3">
      <c r="A52" s="6" t="s">
        <v>54</v>
      </c>
    </row>
    <row r="54" spans="1:1" x14ac:dyDescent="0.3">
      <c r="A54" s="6" t="s">
        <v>55</v>
      </c>
    </row>
    <row r="55" spans="1:1" x14ac:dyDescent="0.3">
      <c r="A55" s="6" t="s">
        <v>67</v>
      </c>
    </row>
    <row r="56" spans="1:1" x14ac:dyDescent="0.3">
      <c r="A56" s="6" t="s">
        <v>56</v>
      </c>
    </row>
    <row r="57" spans="1:1" x14ac:dyDescent="0.3">
      <c r="A57" s="6" t="s">
        <v>38</v>
      </c>
    </row>
    <row r="58" spans="1:1" x14ac:dyDescent="0.3">
      <c r="A58" s="6" t="s">
        <v>57</v>
      </c>
    </row>
    <row r="60" spans="1:1" x14ac:dyDescent="0.3">
      <c r="A60" s="6" t="s">
        <v>58</v>
      </c>
    </row>
    <row r="61" spans="1:1" x14ac:dyDescent="0.3">
      <c r="A61" s="6" t="s">
        <v>60</v>
      </c>
    </row>
    <row r="62" spans="1:1" x14ac:dyDescent="0.3">
      <c r="A62" s="6" t="s">
        <v>59</v>
      </c>
    </row>
  </sheetData>
  <sheetProtection algorithmName="SHA-512" hashValue="J4z6HX11EhLYM41UT6YzMJQTZYFgZHrs+145cZG4yasgxqWcLankPzeokfMSZGgaDU5CUVkkAWDxnK1LkBWUIg==" saltValue="jzfRc2yvvY8Rg+bwZCHUYQ==" spinCount="100000" sheet="1" selectLockedCells="1" selectUnlockedCell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5"/>
  <sheetViews>
    <sheetView workbookViewId="0">
      <selection activeCell="B77" sqref="B77"/>
    </sheetView>
  </sheetViews>
  <sheetFormatPr defaultRowHeight="14.4" x14ac:dyDescent="0.3"/>
  <sheetData>
    <row r="1" spans="1:1" x14ac:dyDescent="0.3">
      <c r="A1" t="s">
        <v>91</v>
      </c>
    </row>
    <row r="2" spans="1:1" x14ac:dyDescent="0.3">
      <c r="A2" t="s">
        <v>103</v>
      </c>
    </row>
    <row r="3" spans="1:1" x14ac:dyDescent="0.3">
      <c r="A3" t="s">
        <v>104</v>
      </c>
    </row>
    <row r="4" spans="1:1" x14ac:dyDescent="0.3">
      <c r="A4" t="s">
        <v>100</v>
      </c>
    </row>
    <row r="5" spans="1:1" x14ac:dyDescent="0.3">
      <c r="A5" t="s">
        <v>101</v>
      </c>
    </row>
    <row r="7" spans="1:1" x14ac:dyDescent="0.3">
      <c r="A7" t="s">
        <v>76</v>
      </c>
    </row>
    <row r="8" spans="1:1" x14ac:dyDescent="0.3">
      <c r="A8" t="s">
        <v>77</v>
      </c>
    </row>
    <row r="9" spans="1:1" x14ac:dyDescent="0.3">
      <c r="A9" t="s">
        <v>78</v>
      </c>
    </row>
    <row r="10" spans="1:1" x14ac:dyDescent="0.3">
      <c r="A10" t="s">
        <v>79</v>
      </c>
    </row>
    <row r="11" spans="1:1" x14ac:dyDescent="0.3">
      <c r="A11" t="s">
        <v>80</v>
      </c>
    </row>
    <row r="12" spans="1:1" x14ac:dyDescent="0.3">
      <c r="A12" t="s">
        <v>81</v>
      </c>
    </row>
    <row r="13" spans="1:1" x14ac:dyDescent="0.3">
      <c r="A13" t="s">
        <v>82</v>
      </c>
    </row>
    <row r="16" spans="1:1" x14ac:dyDescent="0.3">
      <c r="A16" t="s">
        <v>83</v>
      </c>
    </row>
    <row r="17" spans="1:1" x14ac:dyDescent="0.3">
      <c r="A17" t="s">
        <v>84</v>
      </c>
    </row>
    <row r="18" spans="1:1" x14ac:dyDescent="0.3">
      <c r="A18" t="s">
        <v>85</v>
      </c>
    </row>
    <row r="20" spans="1:1" x14ac:dyDescent="0.3">
      <c r="A20" t="s">
        <v>102</v>
      </c>
    </row>
    <row r="21" spans="1:1" x14ac:dyDescent="0.3">
      <c r="A21" t="s">
        <v>79</v>
      </c>
    </row>
    <row r="22" spans="1:1" x14ac:dyDescent="0.3">
      <c r="A22" t="s">
        <v>86</v>
      </c>
    </row>
    <row r="23" spans="1:1" x14ac:dyDescent="0.3">
      <c r="A23" t="s">
        <v>87</v>
      </c>
    </row>
    <row r="24" spans="1:1" x14ac:dyDescent="0.3">
      <c r="A24" t="s">
        <v>81</v>
      </c>
    </row>
    <row r="25" spans="1:1" x14ac:dyDescent="0.3">
      <c r="A25" t="s">
        <v>82</v>
      </c>
    </row>
    <row r="26" spans="1:1" x14ac:dyDescent="0.3">
      <c r="A26" t="s">
        <v>88</v>
      </c>
    </row>
    <row r="28" spans="1:1" x14ac:dyDescent="0.3">
      <c r="A28" t="s">
        <v>105</v>
      </c>
    </row>
    <row r="29" spans="1:1" x14ac:dyDescent="0.3">
      <c r="A29" t="s">
        <v>84</v>
      </c>
    </row>
    <row r="30" spans="1:1" x14ac:dyDescent="0.3">
      <c r="A30" t="s">
        <v>85</v>
      </c>
    </row>
    <row r="31" spans="1:1" x14ac:dyDescent="0.3">
      <c r="A31" t="s">
        <v>110</v>
      </c>
    </row>
    <row r="32" spans="1:1" x14ac:dyDescent="0.3">
      <c r="A32" t="s">
        <v>111</v>
      </c>
    </row>
    <row r="34" spans="1:1" x14ac:dyDescent="0.3">
      <c r="A34" t="s">
        <v>106</v>
      </c>
    </row>
    <row r="35" spans="1:1" x14ac:dyDescent="0.3">
      <c r="A35" t="s">
        <v>92</v>
      </c>
    </row>
    <row r="36" spans="1:1" x14ac:dyDescent="0.3">
      <c r="A36" t="s">
        <v>93</v>
      </c>
    </row>
    <row r="37" spans="1:1" x14ac:dyDescent="0.3">
      <c r="A37" t="s">
        <v>94</v>
      </c>
    </row>
    <row r="38" spans="1:1" x14ac:dyDescent="0.3">
      <c r="A38" t="s">
        <v>95</v>
      </c>
    </row>
    <row r="39" spans="1:1" x14ac:dyDescent="0.3">
      <c r="A39" t="s">
        <v>96</v>
      </c>
    </row>
    <row r="40" spans="1:1" x14ac:dyDescent="0.3">
      <c r="A40" t="s">
        <v>97</v>
      </c>
    </row>
    <row r="41" spans="1:1" x14ac:dyDescent="0.3">
      <c r="A41" t="s">
        <v>77</v>
      </c>
    </row>
    <row r="44" spans="1:1" x14ac:dyDescent="0.3">
      <c r="A44" t="s">
        <v>107</v>
      </c>
    </row>
    <row r="45" spans="1:1" x14ac:dyDescent="0.3">
      <c r="A45" t="s">
        <v>112</v>
      </c>
    </row>
    <row r="46" spans="1:1" x14ac:dyDescent="0.3">
      <c r="A46" t="s">
        <v>113</v>
      </c>
    </row>
    <row r="48" spans="1:1" x14ac:dyDescent="0.3">
      <c r="A48" t="s">
        <v>108</v>
      </c>
    </row>
    <row r="49" spans="1:1" x14ac:dyDescent="0.3">
      <c r="A49" t="s">
        <v>77</v>
      </c>
    </row>
    <row r="50" spans="1:1" x14ac:dyDescent="0.3">
      <c r="A50" t="s">
        <v>78</v>
      </c>
    </row>
    <row r="51" spans="1:1" x14ac:dyDescent="0.3">
      <c r="A51" t="s">
        <v>98</v>
      </c>
    </row>
    <row r="52" spans="1:1" x14ac:dyDescent="0.3">
      <c r="A52" t="s">
        <v>87</v>
      </c>
    </row>
    <row r="53" spans="1:1" x14ac:dyDescent="0.3">
      <c r="A53" t="s">
        <v>99</v>
      </c>
    </row>
    <row r="54" spans="1:1" x14ac:dyDescent="0.3">
      <c r="A54" t="s">
        <v>81</v>
      </c>
    </row>
    <row r="56" spans="1:1" x14ac:dyDescent="0.3">
      <c r="A56" t="s">
        <v>109</v>
      </c>
    </row>
    <row r="57" spans="1:1" x14ac:dyDescent="0.3">
      <c r="A57" t="s">
        <v>84</v>
      </c>
    </row>
    <row r="60" spans="1:1" x14ac:dyDescent="0.3">
      <c r="A60" t="s">
        <v>265</v>
      </c>
    </row>
    <row r="61" spans="1:1" x14ac:dyDescent="0.3">
      <c r="A61" t="s">
        <v>266</v>
      </c>
    </row>
    <row r="62" spans="1:1" x14ac:dyDescent="0.3">
      <c r="A62" t="s">
        <v>85</v>
      </c>
    </row>
    <row r="64" spans="1:1" x14ac:dyDescent="0.3">
      <c r="A64" t="s">
        <v>268</v>
      </c>
    </row>
    <row r="65" spans="1:1" x14ac:dyDescent="0.3">
      <c r="A65" t="s">
        <v>267</v>
      </c>
    </row>
    <row r="66" spans="1:1" x14ac:dyDescent="0.3">
      <c r="A66" t="s">
        <v>269</v>
      </c>
    </row>
    <row r="67" spans="1:1" x14ac:dyDescent="0.3">
      <c r="A67" t="s">
        <v>270</v>
      </c>
    </row>
    <row r="68" spans="1:1" x14ac:dyDescent="0.3">
      <c r="A68" t="s">
        <v>271</v>
      </c>
    </row>
    <row r="70" spans="1:1" x14ac:dyDescent="0.3">
      <c r="A70" t="s">
        <v>272</v>
      </c>
    </row>
    <row r="71" spans="1:1" x14ac:dyDescent="0.3">
      <c r="A71" t="s">
        <v>273</v>
      </c>
    </row>
    <row r="72" spans="1:1" x14ac:dyDescent="0.3">
      <c r="A72" t="s">
        <v>274</v>
      </c>
    </row>
    <row r="73" spans="1:1" x14ac:dyDescent="0.3">
      <c r="A73" t="s">
        <v>275</v>
      </c>
    </row>
    <row r="75" spans="1:1" x14ac:dyDescent="0.3">
      <c r="A75" t="s">
        <v>276</v>
      </c>
    </row>
    <row r="76" spans="1:1" x14ac:dyDescent="0.3">
      <c r="A76">
        <v>200</v>
      </c>
    </row>
    <row r="77" spans="1:1" x14ac:dyDescent="0.3">
      <c r="A77">
        <v>250</v>
      </c>
    </row>
    <row r="81" spans="1:1" x14ac:dyDescent="0.3">
      <c r="A81" t="s">
        <v>277</v>
      </c>
    </row>
    <row r="82" spans="1:1" x14ac:dyDescent="0.3">
      <c r="A82" t="s">
        <v>291</v>
      </c>
    </row>
    <row r="83" spans="1:1" x14ac:dyDescent="0.3">
      <c r="A83" t="s">
        <v>292</v>
      </c>
    </row>
    <row r="84" spans="1:1" x14ac:dyDescent="0.3">
      <c r="A84" t="s">
        <v>290</v>
      </c>
    </row>
    <row r="86" spans="1:1" x14ac:dyDescent="0.3">
      <c r="A86" t="s">
        <v>291</v>
      </c>
    </row>
    <row r="87" spans="1:1" x14ac:dyDescent="0.3">
      <c r="A87" t="s">
        <v>278</v>
      </c>
    </row>
    <row r="88" spans="1:1" x14ac:dyDescent="0.3">
      <c r="A88" t="s">
        <v>286</v>
      </c>
    </row>
    <row r="89" spans="1:1" x14ac:dyDescent="0.3">
      <c r="A89" t="s">
        <v>279</v>
      </c>
    </row>
    <row r="90" spans="1:1" x14ac:dyDescent="0.3">
      <c r="A90" t="s">
        <v>280</v>
      </c>
    </row>
    <row r="91" spans="1:1" x14ac:dyDescent="0.3">
      <c r="A91" t="s">
        <v>281</v>
      </c>
    </row>
    <row r="92" spans="1:1" x14ac:dyDescent="0.3">
      <c r="A92" t="s">
        <v>282</v>
      </c>
    </row>
    <row r="93" spans="1:1" x14ac:dyDescent="0.3">
      <c r="A93" t="s">
        <v>283</v>
      </c>
    </row>
    <row r="94" spans="1:1" x14ac:dyDescent="0.3">
      <c r="A94" t="s">
        <v>284</v>
      </c>
    </row>
    <row r="96" spans="1:1" x14ac:dyDescent="0.3">
      <c r="A96" t="s">
        <v>292</v>
      </c>
    </row>
    <row r="97" spans="1:1" x14ac:dyDescent="0.3">
      <c r="A97" t="s">
        <v>285</v>
      </c>
    </row>
    <row r="98" spans="1:1" x14ac:dyDescent="0.3">
      <c r="A98" t="s">
        <v>287</v>
      </c>
    </row>
    <row r="99" spans="1:1" x14ac:dyDescent="0.3">
      <c r="A99" t="s">
        <v>288</v>
      </c>
    </row>
    <row r="100" spans="1:1" x14ac:dyDescent="0.3">
      <c r="A100" t="s">
        <v>289</v>
      </c>
    </row>
    <row r="103" spans="1:1" x14ac:dyDescent="0.3">
      <c r="A103" t="s">
        <v>119</v>
      </c>
    </row>
    <row r="104" spans="1:1" x14ac:dyDescent="0.3">
      <c r="A104" t="s">
        <v>117</v>
      </c>
    </row>
    <row r="105" spans="1:1" x14ac:dyDescent="0.3">
      <c r="A105" t="s">
        <v>118</v>
      </c>
    </row>
  </sheetData>
  <sheetProtection algorithmName="SHA-512" hashValue="CyUqYrOda7A4G+QgqR+2auOY5uzN+/4HiP2B69J1f5/nCgGfu4wc7SHSouMRkuyDs16w/8yjpsDprPT2BcJbVw==" saltValue="BEq0/zHfFIYh5JYacbCZLg=="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Y150"/>
  <sheetViews>
    <sheetView zoomScale="50" zoomScaleNormal="50" workbookViewId="0">
      <selection activeCell="N33" sqref="N33"/>
    </sheetView>
  </sheetViews>
  <sheetFormatPr defaultRowHeight="14.4" x14ac:dyDescent="0.3"/>
  <cols>
    <col min="1" max="1" width="2.6640625" customWidth="1"/>
    <col min="2" max="2" width="34.5546875" customWidth="1"/>
    <col min="3" max="3" width="2.6640625" customWidth="1"/>
    <col min="4" max="4" width="13.5546875" customWidth="1"/>
    <col min="5" max="5" width="3.109375" customWidth="1"/>
    <col min="6" max="6" width="10.5546875" style="1" customWidth="1"/>
    <col min="7" max="7" width="3.33203125" customWidth="1"/>
    <col min="8" max="8" width="14.33203125" style="1" customWidth="1"/>
    <col min="9" max="9" width="6" customWidth="1"/>
    <col min="12" max="12" width="30.44140625" customWidth="1"/>
    <col min="15" max="15" width="13.109375" customWidth="1"/>
    <col min="16" max="17" width="15.33203125" customWidth="1"/>
    <col min="18" max="18" width="15.88671875" customWidth="1"/>
    <col min="20" max="20" width="15.5546875" customWidth="1"/>
    <col min="21" max="21" width="12.33203125" customWidth="1"/>
    <col min="22" max="22" width="13.88671875" customWidth="1"/>
    <col min="23" max="24" width="10.5546875" bestFit="1" customWidth="1"/>
    <col min="25" max="25" width="11.5546875" bestFit="1" customWidth="1"/>
  </cols>
  <sheetData>
    <row r="2" spans="13:14" x14ac:dyDescent="0.3">
      <c r="M2" s="64"/>
      <c r="N2" s="18"/>
    </row>
    <row r="3" spans="13:14" ht="9.75" customHeight="1" x14ac:dyDescent="0.3"/>
    <row r="5" spans="13:14" ht="8.25" customHeight="1" x14ac:dyDescent="0.3"/>
    <row r="6" spans="13:14" ht="13.5" customHeight="1" x14ac:dyDescent="0.3"/>
    <row r="7" spans="13:14" ht="8.25" customHeight="1" x14ac:dyDescent="0.3"/>
    <row r="10" spans="13:14" ht="8.25" customHeight="1" x14ac:dyDescent="0.3"/>
    <row r="13" spans="13:14" ht="9.75" customHeight="1" x14ac:dyDescent="0.3"/>
    <row r="26" spans="16:23" ht="9.75" customHeight="1" x14ac:dyDescent="0.3">
      <c r="P26" s="64"/>
      <c r="Q26" s="64"/>
      <c r="W26" s="9"/>
    </row>
    <row r="31" spans="16:23" ht="7.5" customHeight="1" x14ac:dyDescent="0.3"/>
    <row r="38" ht="7.5" customHeight="1" x14ac:dyDescent="0.3"/>
    <row r="40" ht="6.75" customHeight="1" x14ac:dyDescent="0.3"/>
    <row r="42" ht="8.25" customHeight="1" x14ac:dyDescent="0.3"/>
    <row r="43" ht="17.25" customHeight="1" x14ac:dyDescent="0.3"/>
    <row r="44" ht="8.25" customHeight="1" x14ac:dyDescent="0.3"/>
    <row r="45" ht="29.25" customHeight="1" x14ac:dyDescent="0.3"/>
    <row r="46" ht="6.75" customHeight="1" x14ac:dyDescent="0.3"/>
    <row r="47" ht="29.25" customHeight="1" x14ac:dyDescent="0.3"/>
    <row r="48" ht="7.5" customHeight="1" x14ac:dyDescent="0.3"/>
    <row r="49" spans="1:10" ht="18" customHeight="1" x14ac:dyDescent="0.3"/>
    <row r="52" spans="1:10" x14ac:dyDescent="0.3">
      <c r="A52" s="9"/>
      <c r="B52" s="9"/>
      <c r="C52" s="9"/>
      <c r="D52" s="9"/>
      <c r="E52" s="9"/>
      <c r="F52" s="27"/>
      <c r="G52" s="9"/>
      <c r="H52" s="27"/>
      <c r="I52" s="9"/>
      <c r="J52" s="9"/>
    </row>
    <row r="53" spans="1:10" x14ac:dyDescent="0.3">
      <c r="A53" s="9"/>
      <c r="B53" s="9" t="b">
        <f>IF('PWCSA Information Sheet 1'!AK6="Non-Residential","Estimated Max Monthly Consumption",IF('PWCSA Information Sheet 1'!AK6="Multi-Family Residential","Number of Dwelling Units"))</f>
        <v>0</v>
      </c>
      <c r="C53" s="9"/>
      <c r="D53" s="9"/>
      <c r="E53" s="9"/>
      <c r="F53" s="27"/>
      <c r="G53" s="9"/>
      <c r="H53" s="63">
        <v>0</v>
      </c>
      <c r="I53" s="9" t="b">
        <f>IF('PWCSA Information Sheet 1'!AK6="Non-Residential","(gallons)",IF('PWCSA Information Sheet 1'!AK6="Multi-Family Residential","(Dwelling Units)"))</f>
        <v>0</v>
      </c>
      <c r="J53" s="9"/>
    </row>
    <row r="54" spans="1:10" x14ac:dyDescent="0.3">
      <c r="A54" s="9"/>
      <c r="B54" s="9"/>
      <c r="C54" s="9"/>
      <c r="D54" s="9"/>
      <c r="E54" s="9"/>
      <c r="F54" s="27"/>
      <c r="G54" s="9"/>
      <c r="H54" s="27"/>
      <c r="I54" s="9"/>
      <c r="J54" s="9"/>
    </row>
    <row r="55" spans="1:10" x14ac:dyDescent="0.3">
      <c r="A55" s="9"/>
      <c r="B55" s="9" t="s">
        <v>209</v>
      </c>
      <c r="C55" s="9"/>
      <c r="D55" s="9"/>
      <c r="E55" s="9"/>
      <c r="F55" s="27"/>
      <c r="G55" s="9"/>
      <c r="H55" s="62" t="e">
        <f>IF(AND('PWCSA Information Sheet 1'!AK6="Multi-Family Residential",'PWCSA Information Sheet 1'!#REF!="Water and Sewer"),L149+L150,IF(AND('PWCSA Information Sheet 1'!AK6="Multi-Family Residential",'PWCSA Information Sheet 1'!#REF!="Water Only"),L149,IF(AND('PWCSA Information Sheet 1'!AK6="Non-Residential",'PWCSA Information Sheet 1'!#REF!="Water and Sewer"),L146+L147,IF(AND('PWCSA Information Sheet 1'!AK6="Non-Residential",'PWCSA Information Sheet 1'!#REF!="Water Only"),L146))))</f>
        <v>#REF!</v>
      </c>
      <c r="I55" s="9"/>
      <c r="J55" s="9"/>
    </row>
    <row r="61" spans="1:10" ht="51.75" customHeight="1" x14ac:dyDescent="0.3">
      <c r="B61" t="s">
        <v>208</v>
      </c>
      <c r="D61" s="61" t="s">
        <v>207</v>
      </c>
      <c r="E61" s="1"/>
      <c r="F61" s="573" t="s">
        <v>206</v>
      </c>
      <c r="G61" s="573"/>
    </row>
    <row r="62" spans="1:10" x14ac:dyDescent="0.3">
      <c r="B62">
        <v>0</v>
      </c>
      <c r="D62">
        <v>0</v>
      </c>
      <c r="F62" s="1">
        <v>0</v>
      </c>
    </row>
    <row r="63" spans="1:10" x14ac:dyDescent="0.3">
      <c r="B63">
        <v>0.1</v>
      </c>
      <c r="D63">
        <v>0</v>
      </c>
      <c r="F63" s="1">
        <v>37</v>
      </c>
    </row>
    <row r="64" spans="1:10" x14ac:dyDescent="0.3">
      <c r="B64">
        <v>25</v>
      </c>
      <c r="D64">
        <v>18</v>
      </c>
      <c r="F64" s="1">
        <v>40</v>
      </c>
    </row>
    <row r="65" spans="2:6" x14ac:dyDescent="0.3">
      <c r="B65">
        <v>50</v>
      </c>
      <c r="D65">
        <v>20</v>
      </c>
      <c r="F65" s="1">
        <v>44</v>
      </c>
    </row>
    <row r="66" spans="2:6" x14ac:dyDescent="0.3">
      <c r="B66">
        <v>75</v>
      </c>
      <c r="D66">
        <v>22</v>
      </c>
      <c r="F66" s="1">
        <v>47</v>
      </c>
    </row>
    <row r="67" spans="2:6" x14ac:dyDescent="0.3">
      <c r="B67">
        <v>100</v>
      </c>
      <c r="D67">
        <v>24.5</v>
      </c>
      <c r="F67" s="1">
        <v>49.5</v>
      </c>
    </row>
    <row r="68" spans="2:6" x14ac:dyDescent="0.3">
      <c r="B68">
        <v>200</v>
      </c>
      <c r="D68">
        <v>30</v>
      </c>
      <c r="F68" s="1">
        <v>60</v>
      </c>
    </row>
    <row r="69" spans="2:6" x14ac:dyDescent="0.3">
      <c r="B69">
        <v>300</v>
      </c>
      <c r="D69">
        <v>35</v>
      </c>
      <c r="F69" s="1">
        <v>70.5</v>
      </c>
    </row>
    <row r="70" spans="2:6" x14ac:dyDescent="0.3">
      <c r="B70">
        <v>400</v>
      </c>
      <c r="D70">
        <v>42</v>
      </c>
      <c r="F70" s="1">
        <v>80</v>
      </c>
    </row>
    <row r="71" spans="2:6" x14ac:dyDescent="0.3">
      <c r="B71">
        <v>500</v>
      </c>
      <c r="D71">
        <v>47</v>
      </c>
      <c r="F71" s="1">
        <v>88.5</v>
      </c>
    </row>
    <row r="72" spans="2:6" x14ac:dyDescent="0.3">
      <c r="B72">
        <v>600</v>
      </c>
      <c r="D72">
        <v>51</v>
      </c>
      <c r="F72" s="1">
        <v>97</v>
      </c>
    </row>
    <row r="73" spans="2:6" x14ac:dyDescent="0.3">
      <c r="B73">
        <v>700</v>
      </c>
      <c r="D73">
        <v>55</v>
      </c>
      <c r="F73" s="1">
        <v>102</v>
      </c>
    </row>
    <row r="74" spans="2:6" x14ac:dyDescent="0.3">
      <c r="B74">
        <v>800</v>
      </c>
      <c r="D74">
        <v>58</v>
      </c>
      <c r="F74" s="1">
        <v>110</v>
      </c>
    </row>
    <row r="75" spans="2:6" x14ac:dyDescent="0.3">
      <c r="B75">
        <v>900</v>
      </c>
      <c r="D75">
        <v>59</v>
      </c>
      <c r="F75" s="1">
        <v>115</v>
      </c>
    </row>
    <row r="76" spans="2:6" x14ac:dyDescent="0.3">
      <c r="B76">
        <v>1000</v>
      </c>
      <c r="D76">
        <v>60</v>
      </c>
      <c r="F76" s="1">
        <v>120.5</v>
      </c>
    </row>
    <row r="77" spans="2:6" x14ac:dyDescent="0.3">
      <c r="B77">
        <v>1100</v>
      </c>
      <c r="D77">
        <v>62</v>
      </c>
      <c r="F77" s="1">
        <v>125</v>
      </c>
    </row>
    <row r="78" spans="2:6" x14ac:dyDescent="0.3">
      <c r="B78">
        <v>1200</v>
      </c>
      <c r="D78">
        <v>64</v>
      </c>
      <c r="F78" s="1">
        <v>130</v>
      </c>
    </row>
    <row r="79" spans="2:6" x14ac:dyDescent="0.3">
      <c r="B79">
        <v>1300</v>
      </c>
      <c r="D79">
        <v>66</v>
      </c>
      <c r="F79" s="1">
        <v>133</v>
      </c>
    </row>
    <row r="80" spans="2:6" x14ac:dyDescent="0.3">
      <c r="B80">
        <v>1500</v>
      </c>
      <c r="D80">
        <v>67</v>
      </c>
      <c r="F80" s="1">
        <v>137.5</v>
      </c>
    </row>
    <row r="81" spans="2:6" x14ac:dyDescent="0.3">
      <c r="B81">
        <v>2000</v>
      </c>
      <c r="D81">
        <v>70</v>
      </c>
      <c r="F81" s="1">
        <v>148</v>
      </c>
    </row>
    <row r="82" spans="2:6" x14ac:dyDescent="0.3">
      <c r="B82">
        <v>2500</v>
      </c>
      <c r="D82">
        <v>74</v>
      </c>
      <c r="F82" s="1">
        <v>151</v>
      </c>
    </row>
    <row r="83" spans="2:6" x14ac:dyDescent="0.3">
      <c r="B83">
        <v>3000</v>
      </c>
      <c r="D83">
        <v>76</v>
      </c>
      <c r="F83" s="1">
        <v>156</v>
      </c>
    </row>
    <row r="84" spans="2:6" x14ac:dyDescent="0.3">
      <c r="B84">
        <v>3500</v>
      </c>
      <c r="D84">
        <v>79</v>
      </c>
      <c r="F84" s="1">
        <v>160</v>
      </c>
    </row>
    <row r="85" spans="2:6" x14ac:dyDescent="0.3">
      <c r="B85">
        <v>4000</v>
      </c>
      <c r="D85">
        <v>83</v>
      </c>
      <c r="F85" s="1">
        <v>165</v>
      </c>
    </row>
    <row r="86" spans="2:6" x14ac:dyDescent="0.3">
      <c r="B86">
        <v>4500</v>
      </c>
      <c r="D86">
        <v>87.5</v>
      </c>
      <c r="F86" s="1">
        <v>168</v>
      </c>
    </row>
    <row r="87" spans="2:6" x14ac:dyDescent="0.3">
      <c r="B87">
        <v>5000</v>
      </c>
      <c r="D87">
        <v>90</v>
      </c>
      <c r="F87" s="1">
        <v>171</v>
      </c>
    </row>
    <row r="88" spans="2:6" x14ac:dyDescent="0.3">
      <c r="B88">
        <v>5500</v>
      </c>
      <c r="D88">
        <v>94</v>
      </c>
      <c r="F88" s="1">
        <v>174</v>
      </c>
    </row>
    <row r="89" spans="2:6" x14ac:dyDescent="0.3">
      <c r="B89">
        <v>6000</v>
      </c>
      <c r="D89">
        <v>98</v>
      </c>
      <c r="F89" s="1">
        <v>175.5</v>
      </c>
    </row>
    <row r="90" spans="2:6" x14ac:dyDescent="0.3">
      <c r="B90">
        <v>6500</v>
      </c>
      <c r="D90">
        <v>100</v>
      </c>
      <c r="F90" s="1">
        <v>177.5</v>
      </c>
    </row>
    <row r="91" spans="2:6" x14ac:dyDescent="0.3">
      <c r="B91">
        <v>7000</v>
      </c>
      <c r="D91">
        <v>103</v>
      </c>
      <c r="F91" s="1">
        <v>179</v>
      </c>
    </row>
    <row r="92" spans="2:6" x14ac:dyDescent="0.3">
      <c r="B92">
        <v>7500</v>
      </c>
      <c r="D92">
        <v>108</v>
      </c>
      <c r="F92" s="1">
        <v>183</v>
      </c>
    </row>
    <row r="93" spans="2:6" x14ac:dyDescent="0.3">
      <c r="B93">
        <v>8000</v>
      </c>
      <c r="D93">
        <v>112.5</v>
      </c>
      <c r="F93" s="1">
        <v>188</v>
      </c>
    </row>
    <row r="94" spans="2:6" x14ac:dyDescent="0.3">
      <c r="B94">
        <v>8500</v>
      </c>
      <c r="D94">
        <v>116</v>
      </c>
      <c r="F94" s="1">
        <v>193</v>
      </c>
    </row>
    <row r="95" spans="2:6" x14ac:dyDescent="0.3">
      <c r="B95">
        <v>9000</v>
      </c>
      <c r="D95">
        <v>120</v>
      </c>
      <c r="F95" s="1">
        <v>197</v>
      </c>
    </row>
    <row r="96" spans="2:6" x14ac:dyDescent="0.3">
      <c r="B96">
        <v>9500</v>
      </c>
      <c r="D96">
        <v>122.5</v>
      </c>
      <c r="F96" s="1">
        <v>200</v>
      </c>
    </row>
    <row r="97" spans="2:6" x14ac:dyDescent="0.3">
      <c r="B97">
        <v>10000</v>
      </c>
      <c r="D97">
        <v>126</v>
      </c>
      <c r="F97" s="1">
        <v>202</v>
      </c>
    </row>
    <row r="98" spans="2:6" x14ac:dyDescent="0.3">
      <c r="B98">
        <v>10500</v>
      </c>
      <c r="D98">
        <v>129</v>
      </c>
      <c r="F98" s="1">
        <v>206</v>
      </c>
    </row>
    <row r="99" spans="2:6" x14ac:dyDescent="0.3">
      <c r="B99">
        <v>11000</v>
      </c>
      <c r="D99">
        <v>132</v>
      </c>
      <c r="F99" s="1">
        <v>210</v>
      </c>
    </row>
    <row r="100" spans="2:6" x14ac:dyDescent="0.3">
      <c r="B100">
        <v>11500</v>
      </c>
      <c r="D100">
        <v>135</v>
      </c>
      <c r="F100" s="1">
        <v>212.5</v>
      </c>
    </row>
    <row r="101" spans="2:6" x14ac:dyDescent="0.3">
      <c r="B101">
        <v>12000</v>
      </c>
      <c r="D101">
        <v>137.5</v>
      </c>
      <c r="F101" s="1">
        <v>216</v>
      </c>
    </row>
    <row r="102" spans="2:6" x14ac:dyDescent="0.3">
      <c r="B102">
        <v>12500</v>
      </c>
      <c r="D102">
        <v>140</v>
      </c>
      <c r="F102" s="1">
        <v>220</v>
      </c>
    </row>
    <row r="103" spans="2:6" x14ac:dyDescent="0.3">
      <c r="B103">
        <v>13000</v>
      </c>
      <c r="D103">
        <v>148</v>
      </c>
      <c r="F103" s="1">
        <v>225</v>
      </c>
    </row>
    <row r="123" spans="12:25" x14ac:dyDescent="0.3">
      <c r="L123" s="569" t="s">
        <v>165</v>
      </c>
      <c r="M123" s="569"/>
      <c r="N123" s="569"/>
      <c r="O123" s="569"/>
      <c r="P123" s="569"/>
      <c r="Q123" s="569"/>
      <c r="R123" s="569"/>
      <c r="S123" s="569"/>
      <c r="T123" s="569"/>
      <c r="U123" s="569"/>
      <c r="V123" s="569"/>
      <c r="W123" s="569"/>
      <c r="X123" s="569"/>
      <c r="Y123" s="569"/>
    </row>
    <row r="124" spans="12:25" ht="46.5" customHeight="1" x14ac:dyDescent="0.3">
      <c r="L124" s="33" t="s">
        <v>164</v>
      </c>
      <c r="M124" s="20" t="s">
        <v>154</v>
      </c>
      <c r="N124" s="20" t="s">
        <v>156</v>
      </c>
      <c r="O124" s="19" t="s">
        <v>155</v>
      </c>
      <c r="P124" s="20" t="s">
        <v>154</v>
      </c>
      <c r="Q124" s="20" t="s">
        <v>153</v>
      </c>
      <c r="R124" s="31" t="s">
        <v>152</v>
      </c>
      <c r="S124" s="20" t="s">
        <v>151</v>
      </c>
      <c r="T124" s="20" t="s">
        <v>150</v>
      </c>
      <c r="U124" s="19" t="s">
        <v>149</v>
      </c>
      <c r="V124" s="20" t="s">
        <v>148</v>
      </c>
      <c r="W124" s="20" t="s">
        <v>147</v>
      </c>
      <c r="X124" s="20" t="s">
        <v>205</v>
      </c>
      <c r="Y124" s="20" t="s">
        <v>204</v>
      </c>
    </row>
    <row r="125" spans="12:25" x14ac:dyDescent="0.3">
      <c r="L125" s="29"/>
      <c r="M125" s="1" t="s">
        <v>146</v>
      </c>
      <c r="N125" s="1" t="s">
        <v>146</v>
      </c>
      <c r="O125" s="27" t="s">
        <v>146</v>
      </c>
      <c r="P125" s="27" t="s">
        <v>146</v>
      </c>
      <c r="Q125" s="27" t="s">
        <v>146</v>
      </c>
      <c r="R125" s="27" t="s">
        <v>146</v>
      </c>
      <c r="S125" s="1" t="s">
        <v>146</v>
      </c>
      <c r="T125" s="7" t="s">
        <v>145</v>
      </c>
      <c r="W125" t="s">
        <v>144</v>
      </c>
      <c r="X125" t="s">
        <v>144</v>
      </c>
      <c r="Y125" t="s">
        <v>144</v>
      </c>
    </row>
    <row r="126" spans="12:25" x14ac:dyDescent="0.3">
      <c r="L126" s="29" t="s">
        <v>203</v>
      </c>
      <c r="M126" s="1">
        <v>0.25</v>
      </c>
      <c r="N126" s="1">
        <v>0</v>
      </c>
      <c r="O126" s="1">
        <v>0.125</v>
      </c>
      <c r="P126" s="1">
        <v>1</v>
      </c>
      <c r="Q126" s="1">
        <v>0</v>
      </c>
      <c r="R126" s="27">
        <v>20</v>
      </c>
      <c r="S126" s="1">
        <v>10</v>
      </c>
      <c r="T126" s="26">
        <f>S126*60*12*30</f>
        <v>216000</v>
      </c>
      <c r="U126" s="25">
        <f>T126/10000</f>
        <v>21.6</v>
      </c>
      <c r="V126" s="1">
        <v>1</v>
      </c>
      <c r="W126" s="24">
        <v>460</v>
      </c>
      <c r="X126" s="23">
        <v>4600</v>
      </c>
      <c r="Y126" s="23">
        <v>10800</v>
      </c>
    </row>
    <row r="127" spans="12:25" x14ac:dyDescent="0.3">
      <c r="L127" s="29" t="s">
        <v>202</v>
      </c>
      <c r="M127" s="1">
        <v>0.75</v>
      </c>
      <c r="N127" s="1">
        <v>20</v>
      </c>
      <c r="O127" s="1">
        <v>0.375</v>
      </c>
      <c r="P127" s="1">
        <v>3</v>
      </c>
      <c r="Q127" s="1">
        <v>20</v>
      </c>
      <c r="R127" s="27">
        <v>51</v>
      </c>
      <c r="S127" s="1">
        <v>25</v>
      </c>
      <c r="T127" s="26">
        <f>S127*60*12*30</f>
        <v>540000</v>
      </c>
      <c r="U127" s="25">
        <f>T127/10000</f>
        <v>54</v>
      </c>
      <c r="V127" s="1">
        <v>4</v>
      </c>
      <c r="W127" s="24">
        <v>585</v>
      </c>
      <c r="X127" s="23">
        <v>4600</v>
      </c>
      <c r="Y127" s="23">
        <v>10800</v>
      </c>
    </row>
    <row r="128" spans="12:25" x14ac:dyDescent="0.3">
      <c r="L128" s="29" t="s">
        <v>201</v>
      </c>
      <c r="M128" s="1">
        <v>1.5</v>
      </c>
      <c r="N128" s="1">
        <v>50</v>
      </c>
      <c r="O128" s="1">
        <v>0.75</v>
      </c>
      <c r="P128" s="1">
        <v>5</v>
      </c>
      <c r="Q128" s="1">
        <v>50</v>
      </c>
      <c r="R128" s="27">
        <v>100</v>
      </c>
      <c r="S128" s="1">
        <v>50</v>
      </c>
      <c r="T128" s="26">
        <f>S128*60*12*30</f>
        <v>1080000</v>
      </c>
      <c r="U128" s="25">
        <f>T128/10000</f>
        <v>108</v>
      </c>
      <c r="V128" s="1">
        <v>7</v>
      </c>
      <c r="W128" s="24">
        <v>960</v>
      </c>
      <c r="X128" s="23">
        <v>4600</v>
      </c>
      <c r="Y128" s="23">
        <v>10800</v>
      </c>
    </row>
    <row r="129" spans="12:25" x14ac:dyDescent="0.3">
      <c r="L129" s="29" t="s">
        <v>200</v>
      </c>
      <c r="M129" s="1">
        <v>2</v>
      </c>
      <c r="N129" s="1">
        <v>100</v>
      </c>
      <c r="O129" s="1">
        <v>1</v>
      </c>
      <c r="P129" s="1">
        <v>8</v>
      </c>
      <c r="Q129" s="1">
        <v>100</v>
      </c>
      <c r="R129" s="27">
        <v>160</v>
      </c>
      <c r="S129" s="1">
        <v>80</v>
      </c>
      <c r="T129" s="26">
        <f>S129*60*12*30</f>
        <v>1728000</v>
      </c>
      <c r="U129" s="25">
        <f>T129/10000</f>
        <v>172.8</v>
      </c>
      <c r="V129" s="1">
        <v>12</v>
      </c>
      <c r="W129" s="24">
        <v>960</v>
      </c>
      <c r="X129" s="23">
        <v>4600</v>
      </c>
      <c r="Y129" s="23">
        <v>10800</v>
      </c>
    </row>
    <row r="130" spans="12:25" x14ac:dyDescent="0.3">
      <c r="L130" s="29" t="s">
        <v>199</v>
      </c>
      <c r="M130" s="1" t="s">
        <v>198</v>
      </c>
      <c r="N130" s="1">
        <v>160</v>
      </c>
      <c r="O130" s="1">
        <v>0.125</v>
      </c>
      <c r="P130" s="1">
        <v>0.5</v>
      </c>
      <c r="Q130" s="1">
        <v>160</v>
      </c>
      <c r="R130" s="27">
        <v>450</v>
      </c>
      <c r="S130" s="1">
        <v>250</v>
      </c>
      <c r="T130" s="26">
        <f>S130*60*12*30</f>
        <v>5400000</v>
      </c>
      <c r="U130" s="25">
        <f>T130/10000</f>
        <v>540</v>
      </c>
      <c r="V130" s="1">
        <v>12</v>
      </c>
      <c r="W130" s="24">
        <v>1200</v>
      </c>
      <c r="X130" s="23">
        <v>4600</v>
      </c>
      <c r="Y130" s="23">
        <v>10800</v>
      </c>
    </row>
    <row r="133" spans="12:25" x14ac:dyDescent="0.3">
      <c r="L133" s="569" t="s">
        <v>197</v>
      </c>
      <c r="M133" s="569"/>
      <c r="N133" s="569"/>
      <c r="O133" s="569"/>
      <c r="P133" s="569"/>
      <c r="Q133" s="569"/>
      <c r="R133" s="569"/>
      <c r="S133" s="569"/>
      <c r="T133" s="569"/>
      <c r="U133" s="569"/>
      <c r="V133" s="569"/>
      <c r="W133" s="569"/>
      <c r="X133" s="569"/>
      <c r="Y133" s="569"/>
    </row>
    <row r="134" spans="12:25" ht="43.2" x14ac:dyDescent="0.3">
      <c r="L134" s="33" t="s">
        <v>164</v>
      </c>
      <c r="M134" s="20" t="s">
        <v>154</v>
      </c>
      <c r="N134" s="20" t="s">
        <v>156</v>
      </c>
      <c r="O134" s="19" t="s">
        <v>155</v>
      </c>
      <c r="P134" s="20" t="s">
        <v>154</v>
      </c>
      <c r="Q134" s="20" t="s">
        <v>153</v>
      </c>
      <c r="R134" s="31" t="s">
        <v>152</v>
      </c>
      <c r="S134" s="20" t="s">
        <v>151</v>
      </c>
      <c r="T134" s="20" t="s">
        <v>150</v>
      </c>
      <c r="U134" s="19" t="s">
        <v>149</v>
      </c>
      <c r="V134" s="20" t="s">
        <v>148</v>
      </c>
      <c r="W134" s="20" t="s">
        <v>147</v>
      </c>
      <c r="X134" s="20" t="s">
        <v>196</v>
      </c>
      <c r="Y134" s="20" t="s">
        <v>195</v>
      </c>
    </row>
    <row r="135" spans="12:25" x14ac:dyDescent="0.3">
      <c r="L135" t="e">
        <f ca="1">VLOOKUP('PWCSA Information Sheet 1'!AJ45,L126:V130,1,FALSE)</f>
        <v>#N/A</v>
      </c>
      <c r="M135" t="e">
        <f ca="1">VLOOKUP('PWCSA Information Sheet 1'!AJ45,L126:V130,2,FALSE)</f>
        <v>#N/A</v>
      </c>
      <c r="N135" t="e">
        <f ca="1">VLOOKUP('PWCSA Information Sheet 1'!AJ45,L126:V130,3,FALSE)</f>
        <v>#N/A</v>
      </c>
      <c r="O135" t="e">
        <f ca="1">VLOOKUP('PWCSA Information Sheet 1'!AJ45,L126:V130,4,FALSE)</f>
        <v>#N/A</v>
      </c>
      <c r="P135" t="e">
        <f ca="1">VLOOKUP('PWCSA Information Sheet 1'!AJ45,L126:V130,5,FALSE)</f>
        <v>#N/A</v>
      </c>
      <c r="Q135" t="e">
        <f ca="1">VLOOKUP('PWCSA Information Sheet 1'!AJ45,L126:V130,6,FALSE)</f>
        <v>#N/A</v>
      </c>
      <c r="R135" t="e">
        <f ca="1">VLOOKUP('PWCSA Information Sheet 1'!AJ45,L126:V130,7,FALSE)</f>
        <v>#N/A</v>
      </c>
      <c r="S135" t="e">
        <f ca="1">VLOOKUP('PWCSA Information Sheet 1'!AJ45,L126:V130,8,FALSE)</f>
        <v>#N/A</v>
      </c>
      <c r="T135" t="e">
        <f ca="1">VLOOKUP('PWCSA Information Sheet 1'!AJ45,L126:V130,9,FALSE)</f>
        <v>#N/A</v>
      </c>
      <c r="U135" s="11" t="e">
        <f ca="1">VLOOKUP('PWCSA Information Sheet 1'!AJ45,L126:V130,10,FALSE)</f>
        <v>#N/A</v>
      </c>
      <c r="V135" t="e">
        <f ca="1">VLOOKUP('PWCSA Information Sheet 1'!AJ45,L126:V130,11,FALSE)</f>
        <v>#N/A</v>
      </c>
      <c r="W135" s="23" t="e">
        <f ca="1">VLOOKUP('PWCSA Information Sheet 1'!AJ45,L126:Y130,12,FALSE)</f>
        <v>#N/A</v>
      </c>
      <c r="X135" s="23" t="e">
        <f ca="1">VLOOKUP('PWCSA Information Sheet 1'!AJ45,L126:Y130,13,FALSE)</f>
        <v>#N/A</v>
      </c>
      <c r="Y135" s="23" t="e">
        <f ca="1">VLOOKUP('PWCSA Information Sheet 1'!AJ45,L126:Y130,14,FALSE)</f>
        <v>#N/A</v>
      </c>
    </row>
    <row r="140" spans="12:25" x14ac:dyDescent="0.3">
      <c r="L140" s="60" t="b">
        <f>IF('PWCSA Information Sheet 1'!AK6="Non-Residential",ROUNDUP(H53,-4))</f>
        <v>0</v>
      </c>
      <c r="M140" s="59"/>
      <c r="N140" s="58"/>
      <c r="O140" s="57" t="s">
        <v>194</v>
      </c>
      <c r="P140" s="57"/>
      <c r="Q140" s="57"/>
      <c r="R140" s="57"/>
      <c r="S140" s="57"/>
      <c r="T140" s="57"/>
      <c r="U140" s="57"/>
      <c r="V140" s="56"/>
    </row>
    <row r="141" spans="12:25" x14ac:dyDescent="0.3">
      <c r="L141" s="55">
        <f>L140/10000</f>
        <v>0</v>
      </c>
      <c r="M141" s="54"/>
      <c r="N141" s="12"/>
      <c r="O141" s="12" t="s">
        <v>193</v>
      </c>
      <c r="P141" s="12"/>
      <c r="Q141" s="12"/>
      <c r="R141" s="12"/>
      <c r="S141" s="12"/>
      <c r="T141" s="12"/>
      <c r="U141" s="12"/>
      <c r="V141" s="17"/>
    </row>
    <row r="142" spans="12:25" x14ac:dyDescent="0.3">
      <c r="L142" s="55"/>
      <c r="M142" s="54"/>
      <c r="N142" s="12"/>
      <c r="O142" s="12"/>
      <c r="P142" s="12"/>
      <c r="Q142" s="12"/>
      <c r="R142" s="12"/>
      <c r="S142" s="12"/>
      <c r="T142" s="12"/>
      <c r="U142" s="12"/>
      <c r="V142" s="17"/>
    </row>
    <row r="143" spans="12:25" x14ac:dyDescent="0.3">
      <c r="L143" s="55" t="b">
        <f>IF(AND(L141&gt;=V126,L141&lt;=V127),"4",IF(AND(L141&gt;V127,L141&lt;=V128),"7",IF(AND(L141&gt;V128,L141&lt;=V129),"12",IF(L141&gt;V129,L141))))</f>
        <v>0</v>
      </c>
      <c r="M143" s="54"/>
      <c r="N143" s="12"/>
      <c r="O143" s="12" t="s">
        <v>192</v>
      </c>
      <c r="P143" s="12"/>
      <c r="Q143" s="12"/>
      <c r="R143" s="12"/>
      <c r="S143" s="12"/>
      <c r="T143" s="12"/>
      <c r="U143" s="12"/>
      <c r="V143" s="17"/>
    </row>
    <row r="144" spans="12:25" x14ac:dyDescent="0.3">
      <c r="L144" s="55"/>
      <c r="M144" s="54"/>
      <c r="N144" s="12"/>
      <c r="O144" s="12"/>
      <c r="P144" s="12"/>
      <c r="Q144" s="12"/>
      <c r="R144" s="12"/>
      <c r="S144" s="12"/>
      <c r="T144" s="12"/>
      <c r="U144" s="12"/>
      <c r="V144" s="17"/>
    </row>
    <row r="145" spans="6:22" x14ac:dyDescent="0.3">
      <c r="L145" s="55" t="e">
        <f ca="1">IF(AND(L141&lt;=V135),"Yes","No")</f>
        <v>#N/A</v>
      </c>
      <c r="M145" s="54"/>
      <c r="N145" s="12"/>
      <c r="O145" s="572" t="s">
        <v>191</v>
      </c>
      <c r="P145" s="572"/>
      <c r="Q145" s="572"/>
      <c r="R145" s="572"/>
      <c r="S145" s="12"/>
      <c r="T145" s="12"/>
      <c r="U145" s="12"/>
      <c r="V145" s="17"/>
    </row>
    <row r="146" spans="6:22" x14ac:dyDescent="0.3">
      <c r="L146" s="53" t="e">
        <f ca="1">IF(AND('PWCSA Information Sheet 1'!AK6="Non-Residential",L145="Yes"),((V135*X135)+W135),IF(AND('PWCSA Information Sheet 1'!AK6="Non-Residential",L145="No"),(L143*X135)+W135))</f>
        <v>#N/A</v>
      </c>
      <c r="M146" s="52"/>
      <c r="N146" s="51"/>
      <c r="O146" s="12" t="s">
        <v>190</v>
      </c>
      <c r="P146" s="12"/>
      <c r="Q146" s="12"/>
      <c r="R146" s="12"/>
      <c r="S146" s="12"/>
      <c r="T146" s="12"/>
      <c r="U146" s="12"/>
      <c r="V146" s="17"/>
    </row>
    <row r="147" spans="6:22" x14ac:dyDescent="0.3">
      <c r="F147"/>
      <c r="H147"/>
      <c r="L147" s="50" t="e">
        <f ca="1">IF(AND('PWCSA Information Sheet 1'!AK6="Non-Residential",L145="Yes"),V135*Y135,IF(AND('PWCSA Information Sheet 1'!AK6="Non-Residential",L145="No"),L143*Y135))</f>
        <v>#N/A</v>
      </c>
      <c r="M147" s="49"/>
      <c r="N147" s="48"/>
      <c r="O147" s="15" t="s">
        <v>189</v>
      </c>
      <c r="P147" s="15"/>
      <c r="Q147" s="15"/>
      <c r="R147" s="15"/>
      <c r="S147" s="15"/>
      <c r="T147" s="15"/>
      <c r="U147" s="15"/>
      <c r="V147" s="47"/>
    </row>
    <row r="148" spans="6:22" x14ac:dyDescent="0.3">
      <c r="F148"/>
      <c r="H148"/>
    </row>
    <row r="149" spans="6:22" x14ac:dyDescent="0.3">
      <c r="F149"/>
      <c r="H149"/>
      <c r="L149" s="23" t="b">
        <f>IF('PWCSA Information Sheet 1'!AK6="Multi-Family Residential",(H53*0.8*X135)+W135)</f>
        <v>0</v>
      </c>
      <c r="O149" t="s">
        <v>188</v>
      </c>
    </row>
    <row r="150" spans="6:22" x14ac:dyDescent="0.3">
      <c r="F150"/>
      <c r="H150"/>
      <c r="L150" s="23" t="b">
        <f>IF('PWCSA Information Sheet 1'!AK6="Multi-Family Residential",(H53*0.8*Y135))</f>
        <v>0</v>
      </c>
      <c r="O150" t="s">
        <v>187</v>
      </c>
    </row>
  </sheetData>
  <sheetProtection algorithmName="SHA-512" hashValue="7ahtNN8t9eI4U+3g76dUwj2vqBLDKJ3O8viZPBFhWITNp0RGPRMxj52rLN2JKJKTiP9lPGvv82bC4N24xvXXxA==" saltValue="reN8VXHy7yu/n0jk4hyjQA==" spinCount="100000" sheet="1" objects="1" scenarios="1" selectLockedCells="1" selectUnlockedCells="1"/>
  <mergeCells count="4">
    <mergeCell ref="O145:R145"/>
    <mergeCell ref="L123:Y123"/>
    <mergeCell ref="L133:Y133"/>
    <mergeCell ref="F61:G61"/>
  </mergeCells>
  <pageMargins left="0.25" right="0.25"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'E:\Documents\Technical\[Tap Fees Estimator.xlsx]Account Type'!#REF!</xm:f>
          </x14:formula1>
          <xm:sqref>M2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4:M58"/>
  <sheetViews>
    <sheetView workbookViewId="0">
      <selection activeCell="H53" sqref="H53"/>
    </sheetView>
  </sheetViews>
  <sheetFormatPr defaultRowHeight="14.4" x14ac:dyDescent="0.3"/>
  <cols>
    <col min="3" max="3" width="35.5546875" customWidth="1"/>
    <col min="4" max="4" width="14.44140625" hidden="1" customWidth="1"/>
    <col min="5" max="5" width="9.88671875" hidden="1" customWidth="1"/>
    <col min="6" max="6" width="12.6640625" customWidth="1"/>
    <col min="7" max="7" width="13" customWidth="1"/>
    <col min="8" max="9" width="12.6640625" customWidth="1"/>
    <col min="10" max="10" width="14.109375" customWidth="1"/>
    <col min="11" max="11" width="14.5546875" customWidth="1"/>
    <col min="12" max="12" width="12.5546875" customWidth="1"/>
    <col min="13" max="13" width="11.6640625" customWidth="1"/>
  </cols>
  <sheetData>
    <row r="4" spans="3:10" x14ac:dyDescent="0.3">
      <c r="C4" s="69" t="s">
        <v>248</v>
      </c>
      <c r="D4" s="69"/>
      <c r="E4" s="69"/>
      <c r="F4" s="69"/>
      <c r="G4" s="69"/>
      <c r="H4" s="69"/>
      <c r="I4" s="69"/>
      <c r="J4" s="69" t="s">
        <v>247</v>
      </c>
    </row>
    <row r="5" spans="3:10" ht="15" thickBot="1" x14ac:dyDescent="0.35">
      <c r="C5" s="68" t="s">
        <v>246</v>
      </c>
      <c r="D5" s="68"/>
      <c r="E5" s="68"/>
      <c r="F5" s="68"/>
      <c r="G5" s="68"/>
      <c r="H5" s="68"/>
      <c r="I5" s="68"/>
      <c r="J5" s="68" t="s">
        <v>245</v>
      </c>
    </row>
    <row r="6" spans="3:10" x14ac:dyDescent="0.3">
      <c r="C6" s="7">
        <v>35</v>
      </c>
      <c r="D6" s="7"/>
      <c r="E6" s="7"/>
      <c r="F6" s="7"/>
      <c r="G6" s="7"/>
      <c r="H6" s="7"/>
      <c r="I6" s="7"/>
      <c r="J6" s="67">
        <v>0.74</v>
      </c>
    </row>
    <row r="7" spans="3:10" x14ac:dyDescent="0.3">
      <c r="C7" s="7">
        <v>40</v>
      </c>
      <c r="D7" s="7"/>
      <c r="E7" s="7"/>
      <c r="F7" s="7"/>
      <c r="G7" s="7"/>
      <c r="H7" s="7"/>
      <c r="I7" s="7"/>
      <c r="J7" s="67">
        <v>0.8</v>
      </c>
    </row>
    <row r="8" spans="3:10" x14ac:dyDescent="0.3">
      <c r="C8" s="7">
        <v>50</v>
      </c>
      <c r="D8" s="7"/>
      <c r="E8" s="7"/>
      <c r="F8" s="7"/>
      <c r="G8" s="7"/>
      <c r="H8" s="7"/>
      <c r="I8" s="7"/>
      <c r="J8" s="67">
        <v>0.9</v>
      </c>
    </row>
    <row r="9" spans="3:10" x14ac:dyDescent="0.3">
      <c r="C9" s="7">
        <v>60</v>
      </c>
      <c r="D9" s="7"/>
      <c r="E9" s="7"/>
      <c r="F9" s="7"/>
      <c r="G9" s="7"/>
      <c r="H9" s="7"/>
      <c r="I9" s="7"/>
      <c r="J9" s="67">
        <v>1</v>
      </c>
    </row>
    <row r="10" spans="3:10" x14ac:dyDescent="0.3">
      <c r="C10" s="7">
        <v>70</v>
      </c>
      <c r="D10" s="7"/>
      <c r="E10" s="7"/>
      <c r="F10" s="7"/>
      <c r="G10" s="7"/>
      <c r="H10" s="7"/>
      <c r="I10" s="7"/>
      <c r="J10" s="67">
        <v>1.0900000000000001</v>
      </c>
    </row>
    <row r="11" spans="3:10" x14ac:dyDescent="0.3">
      <c r="C11" s="7">
        <v>80</v>
      </c>
      <c r="D11" s="7"/>
      <c r="E11" s="7"/>
      <c r="F11" s="7"/>
      <c r="G11" s="7"/>
      <c r="H11" s="7"/>
      <c r="I11" s="7"/>
      <c r="J11" s="67">
        <v>1.17</v>
      </c>
    </row>
    <row r="12" spans="3:10" x14ac:dyDescent="0.3">
      <c r="C12" s="7">
        <v>90</v>
      </c>
      <c r="D12" s="7"/>
      <c r="E12" s="7"/>
      <c r="F12" s="7"/>
      <c r="G12" s="7"/>
      <c r="H12" s="7"/>
      <c r="I12" s="7"/>
      <c r="J12" s="67">
        <v>1.25</v>
      </c>
    </row>
    <row r="13" spans="3:10" x14ac:dyDescent="0.3">
      <c r="C13" s="7">
        <v>100</v>
      </c>
      <c r="D13" s="7"/>
      <c r="E13" s="7"/>
      <c r="F13" s="7"/>
      <c r="G13" s="7"/>
      <c r="H13" s="7"/>
      <c r="I13" s="7"/>
      <c r="J13" s="67">
        <v>1.34</v>
      </c>
    </row>
    <row r="14" spans="3:10" x14ac:dyDescent="0.3">
      <c r="C14" s="7"/>
      <c r="D14" s="7"/>
      <c r="E14" s="7"/>
      <c r="F14" s="7"/>
      <c r="G14" s="7"/>
      <c r="H14" s="7"/>
      <c r="I14" s="7"/>
      <c r="J14" s="7"/>
    </row>
    <row r="19" spans="3:13" ht="48" customHeight="1" x14ac:dyDescent="0.3">
      <c r="C19" s="33" t="s">
        <v>164</v>
      </c>
      <c r="D19" s="20" t="s">
        <v>154</v>
      </c>
      <c r="E19" s="20" t="s">
        <v>156</v>
      </c>
      <c r="F19" s="19" t="s">
        <v>155</v>
      </c>
      <c r="G19" s="20" t="s">
        <v>154</v>
      </c>
      <c r="H19" s="20" t="s">
        <v>153</v>
      </c>
      <c r="I19" s="31" t="s">
        <v>152</v>
      </c>
      <c r="J19" s="20" t="s">
        <v>151</v>
      </c>
      <c r="K19" s="20" t="s">
        <v>150</v>
      </c>
      <c r="L19" s="19" t="s">
        <v>149</v>
      </c>
      <c r="M19" s="20" t="s">
        <v>148</v>
      </c>
    </row>
    <row r="20" spans="3:13" x14ac:dyDescent="0.3">
      <c r="C20" s="29"/>
      <c r="D20" s="1" t="s">
        <v>146</v>
      </c>
      <c r="E20" s="1" t="s">
        <v>146</v>
      </c>
      <c r="F20" s="27" t="s">
        <v>146</v>
      </c>
      <c r="G20" s="27" t="s">
        <v>146</v>
      </c>
      <c r="H20" s="27" t="s">
        <v>146</v>
      </c>
      <c r="I20" s="27" t="s">
        <v>146</v>
      </c>
      <c r="J20" s="1" t="s">
        <v>146</v>
      </c>
      <c r="K20" s="7" t="s">
        <v>145</v>
      </c>
    </row>
    <row r="21" spans="3:13" x14ac:dyDescent="0.3">
      <c r="C21" s="29" t="s">
        <v>244</v>
      </c>
      <c r="D21" s="1">
        <v>0.25</v>
      </c>
      <c r="E21" s="1">
        <v>0</v>
      </c>
      <c r="F21" s="1">
        <v>0.125</v>
      </c>
      <c r="G21" s="1">
        <v>1</v>
      </c>
      <c r="H21" s="1">
        <v>0</v>
      </c>
      <c r="I21" s="27">
        <v>20</v>
      </c>
      <c r="J21" s="1">
        <v>10</v>
      </c>
      <c r="K21" s="26">
        <f>J21*60*12*30</f>
        <v>216000</v>
      </c>
      <c r="L21" s="25">
        <f>K21/10000</f>
        <v>21.6</v>
      </c>
      <c r="M21" s="1">
        <v>1</v>
      </c>
    </row>
    <row r="22" spans="3:13" x14ac:dyDescent="0.3">
      <c r="C22" s="29" t="s">
        <v>243</v>
      </c>
      <c r="D22" s="1">
        <v>0.75</v>
      </c>
      <c r="E22" s="1">
        <v>20</v>
      </c>
      <c r="F22" s="1">
        <v>0.375</v>
      </c>
      <c r="G22" s="1">
        <v>3</v>
      </c>
      <c r="H22" s="1">
        <v>20</v>
      </c>
      <c r="I22" s="27">
        <v>50</v>
      </c>
      <c r="J22" s="1">
        <v>25</v>
      </c>
      <c r="K22" s="26">
        <f>J22*60*12*30</f>
        <v>540000</v>
      </c>
      <c r="L22" s="25">
        <f>K22/10000</f>
        <v>54</v>
      </c>
      <c r="M22" s="1">
        <v>4</v>
      </c>
    </row>
    <row r="23" spans="3:13" x14ac:dyDescent="0.3">
      <c r="C23" s="29" t="s">
        <v>242</v>
      </c>
      <c r="D23" s="1">
        <v>1.5</v>
      </c>
      <c r="E23" s="1">
        <v>50</v>
      </c>
      <c r="F23" s="1">
        <v>0.75</v>
      </c>
      <c r="G23" s="1">
        <v>5</v>
      </c>
      <c r="H23" s="1">
        <v>50</v>
      </c>
      <c r="I23" s="27">
        <v>100</v>
      </c>
      <c r="J23" s="1">
        <v>50</v>
      </c>
      <c r="K23" s="26">
        <f>J23*60*12*30</f>
        <v>1080000</v>
      </c>
      <c r="L23" s="25">
        <f>K23/10000</f>
        <v>108</v>
      </c>
      <c r="M23" s="1">
        <v>7</v>
      </c>
    </row>
    <row r="24" spans="3:13" x14ac:dyDescent="0.3">
      <c r="C24" s="29" t="s">
        <v>241</v>
      </c>
      <c r="D24" s="1">
        <v>2</v>
      </c>
      <c r="E24" s="1">
        <v>100</v>
      </c>
      <c r="F24" s="1">
        <v>1</v>
      </c>
      <c r="G24" s="1">
        <v>8</v>
      </c>
      <c r="H24" s="1">
        <v>100</v>
      </c>
      <c r="I24" s="27">
        <v>160</v>
      </c>
      <c r="J24" s="1">
        <v>80</v>
      </c>
      <c r="K24" s="26">
        <f>J24*60*12*30</f>
        <v>1728000</v>
      </c>
      <c r="L24" s="25">
        <f>K24/10000</f>
        <v>172.8</v>
      </c>
      <c r="M24" s="1">
        <v>12</v>
      </c>
    </row>
    <row r="25" spans="3:13" x14ac:dyDescent="0.3">
      <c r="C25" s="29" t="s">
        <v>240</v>
      </c>
      <c r="D25" s="1" t="s">
        <v>198</v>
      </c>
      <c r="E25" s="1">
        <v>160</v>
      </c>
      <c r="F25" s="1">
        <v>0.125</v>
      </c>
      <c r="G25" s="1">
        <v>0.5</v>
      </c>
      <c r="H25" s="1">
        <v>160</v>
      </c>
      <c r="I25" s="27">
        <v>450</v>
      </c>
      <c r="J25" s="1">
        <v>250</v>
      </c>
      <c r="K25" s="26">
        <f>J25*60*12*30</f>
        <v>5400000</v>
      </c>
      <c r="L25" s="25">
        <f>K25/10000</f>
        <v>540</v>
      </c>
      <c r="M25" s="1">
        <v>12</v>
      </c>
    </row>
    <row r="29" spans="3:13" x14ac:dyDescent="0.3">
      <c r="C29" s="19"/>
      <c r="D29" s="20"/>
      <c r="E29" s="20"/>
      <c r="F29" s="20"/>
      <c r="G29" s="20"/>
      <c r="H29" s="20"/>
      <c r="I29" s="20"/>
      <c r="J29" s="66"/>
      <c r="K29" s="19"/>
    </row>
    <row r="30" spans="3:13" x14ac:dyDescent="0.3">
      <c r="D30" s="1"/>
      <c r="E30" s="1"/>
      <c r="F30" s="1"/>
      <c r="G30" s="1"/>
      <c r="H30" s="1"/>
      <c r="I30" s="1"/>
      <c r="J30" s="7"/>
    </row>
    <row r="31" spans="3:13" x14ac:dyDescent="0.3">
      <c r="D31" s="1"/>
      <c r="E31" s="1"/>
      <c r="F31" s="1"/>
      <c r="G31" s="1"/>
      <c r="H31" s="1"/>
      <c r="I31" s="1"/>
      <c r="J31" s="65"/>
    </row>
    <row r="32" spans="3:13" x14ac:dyDescent="0.3">
      <c r="D32" s="1"/>
      <c r="E32" s="1"/>
      <c r="F32" s="1"/>
      <c r="G32" s="1"/>
      <c r="H32" s="1"/>
      <c r="I32" s="1"/>
      <c r="J32" s="26"/>
      <c r="K32" s="25"/>
    </row>
    <row r="33" spans="4:11" x14ac:dyDescent="0.3">
      <c r="D33" s="1"/>
      <c r="E33" s="1"/>
      <c r="F33" s="1"/>
      <c r="G33" s="1"/>
      <c r="H33" s="1"/>
      <c r="I33" s="1"/>
      <c r="J33" s="26"/>
      <c r="K33" s="25"/>
    </row>
    <row r="34" spans="4:11" x14ac:dyDescent="0.3">
      <c r="D34" s="1"/>
      <c r="E34" s="1"/>
      <c r="F34" s="1"/>
      <c r="G34" s="1"/>
      <c r="H34" s="1"/>
      <c r="I34" s="1"/>
      <c r="J34" s="26"/>
      <c r="K34" s="25"/>
    </row>
    <row r="35" spans="4:11" x14ac:dyDescent="0.3">
      <c r="D35" s="1"/>
      <c r="E35" s="1"/>
      <c r="F35" s="1"/>
      <c r="G35" s="1"/>
      <c r="H35" s="1"/>
      <c r="I35" s="1"/>
      <c r="J35" s="65"/>
      <c r="K35" s="64"/>
    </row>
    <row r="36" spans="4:11" x14ac:dyDescent="0.3">
      <c r="D36" s="1"/>
      <c r="E36" s="1"/>
      <c r="F36" s="1"/>
      <c r="G36" s="1"/>
      <c r="H36" s="1"/>
      <c r="I36" s="1"/>
      <c r="J36" s="26"/>
      <c r="K36" s="25"/>
    </row>
    <row r="37" spans="4:11" x14ac:dyDescent="0.3">
      <c r="D37" s="1"/>
      <c r="E37" s="1"/>
      <c r="F37" s="1"/>
      <c r="G37" s="1"/>
      <c r="H37" s="1"/>
      <c r="I37" s="1"/>
      <c r="J37" s="26"/>
      <c r="K37" s="25"/>
    </row>
    <row r="38" spans="4:11" x14ac:dyDescent="0.3">
      <c r="D38" s="1"/>
      <c r="E38" s="1"/>
      <c r="F38" s="1"/>
      <c r="G38" s="1"/>
      <c r="H38" s="1"/>
      <c r="I38" s="1"/>
      <c r="J38" s="65"/>
      <c r="K38" s="64"/>
    </row>
    <row r="39" spans="4:11" x14ac:dyDescent="0.3">
      <c r="D39" s="1"/>
      <c r="E39" s="1"/>
      <c r="F39" s="1"/>
      <c r="G39" s="1"/>
      <c r="H39" s="1"/>
      <c r="I39" s="1"/>
      <c r="J39" s="26"/>
      <c r="K39" s="25"/>
    </row>
    <row r="53" spans="3:3" x14ac:dyDescent="0.3">
      <c r="C53" t="s">
        <v>238</v>
      </c>
    </row>
    <row r="54" spans="3:3" x14ac:dyDescent="0.3">
      <c r="C54" t="s">
        <v>137</v>
      </c>
    </row>
    <row r="55" spans="3:3" x14ac:dyDescent="0.3">
      <c r="C55" t="s">
        <v>136</v>
      </c>
    </row>
    <row r="57" spans="3:3" x14ac:dyDescent="0.3">
      <c r="C57" t="s">
        <v>346</v>
      </c>
    </row>
    <row r="58" spans="3:3" x14ac:dyDescent="0.3">
      <c r="C58" t="s">
        <v>347</v>
      </c>
    </row>
  </sheetData>
  <sheetProtection algorithmName="SHA-512" hashValue="BOL3f+s0ZWSJ0hQAilzD+jIwM/CRQdL7PvGFtuV2Q9Lf3V46DZej8QoStDdrDjcgVhSLi3vtuS5ma2Lj32Udtw==" saltValue="PqhxfeapDNLq2dh18XXOdg==" spinCount="100000" sheet="1" objects="1" scenarios="1" selectLockedCells="1" selectUnlockedCells="1"/>
  <pageMargins left="0.7" right="0.7" top="0.75" bottom="0.75" header="0.3" footer="0.3"/>
  <pageSetup orientation="portrait" r:id="rId1"/>
  <drawing r:id="rId2"/>
  <legacyDrawing r:id="rId3"/>
</worksheet>
</file>

<file path=docMetadata/LabelInfo.xml><?xml version="1.0" encoding="utf-8"?>
<clbl:labelList xmlns:clbl="http://schemas.microsoft.com/office/2020/mipLabelMetadata">
  <clbl:label id="{f6578e41-0ec0-4685-a8b2-131e88581c7b}" enabled="1" method="Standard" siteId="{a5ef2c3b-f15d-4e76-b813-53d9f34369f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25</vt:i4>
      </vt:variant>
    </vt:vector>
  </HeadingPairs>
  <TitlesOfParts>
    <vt:vector size="32" baseType="lpstr">
      <vt:lpstr>PWCSA Information Sheet 1</vt:lpstr>
      <vt:lpstr>PWCSA Information Sheet 2</vt:lpstr>
      <vt:lpstr>Meter Schedule List</vt:lpstr>
      <vt:lpstr>Excel List 1</vt:lpstr>
      <vt:lpstr>Excel List 2</vt:lpstr>
      <vt:lpstr>AWWA Curves</vt:lpstr>
      <vt:lpstr>AWWA Meter Selection</vt:lpstr>
      <vt:lpstr>AccountTypes</vt:lpstr>
      <vt:lpstr>ASSET_TYPE</vt:lpstr>
      <vt:lpstr>Coarse_Grained_Soils</vt:lpstr>
      <vt:lpstr>DataCenterAccountTypes</vt:lpstr>
      <vt:lpstr>Fine_Grained_Soils</vt:lpstr>
      <vt:lpstr>FORCE_MAIN</vt:lpstr>
      <vt:lpstr>GRAVITY_SANITARY_SEWER_MAIN_MATERIALS</vt:lpstr>
      <vt:lpstr>GRAVITY_SANITARY_SEWER_MAIN_SIZES</vt:lpstr>
      <vt:lpstr>LOW_PRESSURE_FORCE_MAIN_MATERIALS</vt:lpstr>
      <vt:lpstr>LOW_PRESSURE_FORCE_MAIN_SIZES</vt:lpstr>
      <vt:lpstr>PIPE_RESTRAINT_MATERIALS</vt:lpstr>
      <vt:lpstr>PUMP_STATION_FM_MAT</vt:lpstr>
      <vt:lpstr>PUMP_STATION_FM_MATERIALS</vt:lpstr>
      <vt:lpstr>PUMP_STATION_FORCE_MAIN_MAT</vt:lpstr>
      <vt:lpstr>PUMP_STATION_FORCE_MAIN_MATERIALS</vt:lpstr>
      <vt:lpstr>PUMP_STATION_FORCE_MAIN_SIZES</vt:lpstr>
      <vt:lpstr>RESIDENTIAL_METERS</vt:lpstr>
      <vt:lpstr>SAFETY_FACTOR</vt:lpstr>
      <vt:lpstr>SOIL_TYPE</vt:lpstr>
      <vt:lpstr>TEST_PRESSURE</vt:lpstr>
      <vt:lpstr>TRENCH_TYPE</vt:lpstr>
      <vt:lpstr>WATER_MAIN_MATERIALS</vt:lpstr>
      <vt:lpstr>WATER_MAIN_SIZES</vt:lpstr>
      <vt:lpstr>'PWCSA Information Sheet 2'!WATER_QTY</vt:lpstr>
      <vt:lpstr>WATER_QTY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Reynolds</dc:creator>
  <cp:lastModifiedBy>Ed Kovalchuk Jr.</cp:lastModifiedBy>
  <cp:lastPrinted>2023-07-20T11:41:17Z</cp:lastPrinted>
  <dcterms:created xsi:type="dcterms:W3CDTF">2016-05-10T19:28:22Z</dcterms:created>
  <dcterms:modified xsi:type="dcterms:W3CDTF">2024-07-09T17:18:52Z</dcterms:modified>
</cp:coreProperties>
</file>